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597" activeTab="10"/>
  </bookViews>
  <sheets>
    <sheet name="Dochody  klas.bud" sheetId="1" r:id="rId1"/>
    <sheet name="FK-doch" sheetId="2" state="hidden" r:id="rId2"/>
    <sheet name="Dochody" sheetId="3" r:id="rId3"/>
    <sheet name="Inwestycje" sheetId="4" state="hidden" r:id="rId4"/>
    <sheet name="Fk-wyd" sheetId="5" state="hidden" r:id="rId5"/>
    <sheet name="Wydatki" sheetId="6" r:id="rId6"/>
    <sheet name="Wydatki - grupy" sheetId="7" state="hidden" r:id="rId7"/>
    <sheet name="Wydatki (2)" sheetId="8" state="hidden" r:id="rId8"/>
    <sheet name="Przychody" sheetId="9" r:id="rId9"/>
    <sheet name="Zad rządowe" sheetId="10" r:id="rId10"/>
    <sheet name="Inne" sheetId="11" r:id="rId11"/>
    <sheet name="Obliczenia" sheetId="12" state="hidden" r:id="rId12"/>
    <sheet name="Oświata" sheetId="13" state="hidden" r:id="rId13"/>
  </sheets>
  <definedNames>
    <definedName name="_xlnm.Print_Area" localSheetId="2">'Dochody'!$A$1:$F$108</definedName>
    <definedName name="_xlnm.Print_Area" localSheetId="0">'Dochody  klas.bud'!$A$1:$F$24</definedName>
    <definedName name="_xlnm.Print_Area" localSheetId="3">'Inwestycje'!$A$1:$C$70</definedName>
    <definedName name="_xlnm.Print_Area" localSheetId="8">'Przychody'!$A$1:$E$29</definedName>
    <definedName name="_xlnm.Print_Area" localSheetId="5">'Wydatki'!$A$1:$E$247</definedName>
    <definedName name="_xlnm.Print_Area" localSheetId="9">'Zad rządowe'!$A$1:$F$68</definedName>
  </definedNames>
  <calcPr fullCalcOnLoad="1"/>
</workbook>
</file>

<file path=xl/comments12.xml><?xml version="1.0" encoding="utf-8"?>
<comments xmlns="http://schemas.openxmlformats.org/spreadsheetml/2006/main">
  <authors>
    <author>UM Ustrzyki Dolne</author>
  </authors>
  <commentList>
    <comment ref="C25" authorId="0">
      <text>
        <r>
          <rPr>
            <b/>
            <sz val="8"/>
            <rFont val="Tahoma"/>
            <family val="0"/>
          </rPr>
          <t>UM Ustrzyki Dolne:</t>
        </r>
        <r>
          <rPr>
            <sz val="8"/>
            <rFont val="Tahoma"/>
            <family val="0"/>
          </rPr>
          <t xml:space="preserve">
pomniejszona o odpisy aktualizacyjne
</t>
        </r>
      </text>
    </comment>
  </commentList>
</comments>
</file>

<file path=xl/sharedStrings.xml><?xml version="1.0" encoding="utf-8"?>
<sst xmlns="http://schemas.openxmlformats.org/spreadsheetml/2006/main" count="3178" uniqueCount="603">
  <si>
    <t>Lp.</t>
  </si>
  <si>
    <t>Dział</t>
  </si>
  <si>
    <t>Nazwa</t>
  </si>
  <si>
    <t>Leśnictwo</t>
  </si>
  <si>
    <t>Transport i łączność</t>
  </si>
  <si>
    <t>Turystyka</t>
  </si>
  <si>
    <t>Gospodarka mieszkaniowa</t>
  </si>
  <si>
    <t>Administracja publiczna</t>
  </si>
  <si>
    <t>Różne rozliczenia</t>
  </si>
  <si>
    <t>Oświata i wychowanie</t>
  </si>
  <si>
    <t>Gospodarka komunalna i ochrona środowiska</t>
  </si>
  <si>
    <t>Kultura i ochrona dziedzictwa narodowego</t>
  </si>
  <si>
    <t>Razem</t>
  </si>
  <si>
    <t>Podatek leśny</t>
  </si>
  <si>
    <t>Podatek od spadku i darowizn</t>
  </si>
  <si>
    <t>Podatek od czynności cywilnoprawnych</t>
  </si>
  <si>
    <t>Opłata eksploatacyjna za wyd.kopal.</t>
  </si>
  <si>
    <t xml:space="preserve"> od osób fizycznych</t>
  </si>
  <si>
    <t xml:space="preserve"> od osób prawnych</t>
  </si>
  <si>
    <t>Subwencja oświatowa</t>
  </si>
  <si>
    <t>Podatek opłacany w formie karty podatkowej</t>
  </si>
  <si>
    <t>Dz Roz.</t>
  </si>
  <si>
    <t>Rolnictwo i łowiectwo</t>
  </si>
  <si>
    <t>Wydatki bieżące</t>
  </si>
  <si>
    <t>Izby rolnicze</t>
  </si>
  <si>
    <t>Gospodarka leśna</t>
  </si>
  <si>
    <t>Pozostała działalność</t>
  </si>
  <si>
    <t>Handel</t>
  </si>
  <si>
    <t>Drogi publiczne gminne</t>
  </si>
  <si>
    <t>Ośrodki informacji turystycznej</t>
  </si>
  <si>
    <t>Gospodarka gruntami i nieruchomościami</t>
  </si>
  <si>
    <t>Działalność usługowa</t>
  </si>
  <si>
    <t>Cmentarze</t>
  </si>
  <si>
    <t>Urzędy wojewódzkie</t>
  </si>
  <si>
    <t>Rady gmin</t>
  </si>
  <si>
    <t>Urzędy gmin</t>
  </si>
  <si>
    <t>Pobór podatków, opłat i niepodatkowych należ.budż</t>
  </si>
  <si>
    <t>Bezpieczeństwo publiczne i ochrona przeciwpożar.</t>
  </si>
  <si>
    <t>Ochotnicze straże pożarne</t>
  </si>
  <si>
    <t>Obsługa długu publicznego</t>
  </si>
  <si>
    <t>Rezerwy ogólne i celowe</t>
  </si>
  <si>
    <t>Rezerwy ogólne</t>
  </si>
  <si>
    <t>Szkoły podstawowe</t>
  </si>
  <si>
    <t>Gimnazja</t>
  </si>
  <si>
    <t>Dowożenie uczniów do szkół</t>
  </si>
  <si>
    <t>0chrona zdrowia</t>
  </si>
  <si>
    <t>Przeciwdziałanie alkoholizmowi</t>
  </si>
  <si>
    <t>Ośrodki wsparcia</t>
  </si>
  <si>
    <t>Składki na ubezpieczenia zdrowotne</t>
  </si>
  <si>
    <t xml:space="preserve">Wydatki bieżące               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</si>
  <si>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</si>
  <si>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</si>
  <si>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</si>
  <si>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</si>
  <si>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</si>
  <si>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ściekowa i ochrona wód</t>
  </si>
  <si>
    <t>Wydatki majątkowe</t>
  </si>
  <si>
    <t>Oczyszczanie miast i wsi</t>
  </si>
  <si>
    <t>Utrzymanie zieleni w miastach i gminach</t>
  </si>
  <si>
    <t>Oświetlenie uliczne</t>
  </si>
  <si>
    <t>Domy i ośrodki kultury, świetlice i kluby</t>
  </si>
  <si>
    <t>Biblioteki</t>
  </si>
  <si>
    <t>Kultura fizyczna i sport</t>
  </si>
  <si>
    <t>Wydatki bieżące – obsługa długu jst</t>
  </si>
  <si>
    <t>Wydatki bieżące, w tym</t>
  </si>
  <si>
    <t>Zasiłki i pomoc w naturze oraz składki na ubez.społ.</t>
  </si>
  <si>
    <t>010</t>
  </si>
  <si>
    <t>01030</t>
  </si>
  <si>
    <t>020</t>
  </si>
  <si>
    <t>02001</t>
  </si>
  <si>
    <t>Wydatki bieżące, w tym:</t>
  </si>
  <si>
    <t xml:space="preserve">W tym wynagrodzenia i pochodne </t>
  </si>
  <si>
    <t xml:space="preserve">Pozostałe wydatki </t>
  </si>
  <si>
    <t xml:space="preserve">Wydatki bieżące </t>
  </si>
  <si>
    <t>W tym wynagrodzenia i pochodne</t>
  </si>
  <si>
    <t>Wynagrodzenia i pochodne</t>
  </si>
  <si>
    <t>Pozostałe wydatki</t>
  </si>
  <si>
    <t>W tym: wynagrodzenia i pochodne</t>
  </si>
  <si>
    <t>Pozostała działalność (m.in. MKP)</t>
  </si>
  <si>
    <t xml:space="preserve">Wynagrodzenia i pochodne </t>
  </si>
  <si>
    <t xml:space="preserve">Zadania własne </t>
  </si>
  <si>
    <t xml:space="preserve">Zadania zlecone </t>
  </si>
  <si>
    <t>Zadania zlecone</t>
  </si>
  <si>
    <t>Wytwarzanie i zaopatryw w energię elekt, gaz, wodę</t>
  </si>
  <si>
    <t xml:space="preserve">Wydatki bieżące, w tym </t>
  </si>
  <si>
    <t>Obsługa pap.wart., kredytów i pożyczek jst</t>
  </si>
  <si>
    <t xml:space="preserve">Opłata skarbowa </t>
  </si>
  <si>
    <t>Dokształcanie i doskonalenie nauczycieli</t>
  </si>
  <si>
    <t>Wydatki pozostałe</t>
  </si>
  <si>
    <t>Dz.</t>
  </si>
  <si>
    <t xml:space="preserve">Rozdz  </t>
  </si>
  <si>
    <t>Urzędy Wojewódzkie</t>
  </si>
  <si>
    <t>Zasiłki i pomoc w naturze oraz składki na ubez. społ</t>
  </si>
  <si>
    <t xml:space="preserve">   </t>
  </si>
  <si>
    <t xml:space="preserve">Razem wydatki  </t>
  </si>
  <si>
    <t>Dotacje celowe otrzym. z budż.pań. na real.zadań zleconych</t>
  </si>
  <si>
    <t>Zasiłki i pomoc w naturze oraz składki na ubezp.społ.</t>
  </si>
  <si>
    <t xml:space="preserve">Razem dochody  </t>
  </si>
  <si>
    <t>Pomoc społeczna</t>
  </si>
  <si>
    <t>Dostarczanie wody</t>
  </si>
  <si>
    <t>Pożyczki krajowe  w tym:</t>
  </si>
  <si>
    <t>Kredyty krajowe w tym:</t>
  </si>
  <si>
    <t xml:space="preserve">spłata rat pożyczki WFOŚiGW </t>
  </si>
  <si>
    <t>spłata rat pożyczki NFOŚ</t>
  </si>
  <si>
    <t>Wydatki</t>
  </si>
  <si>
    <t>Nazwa zakładu</t>
  </si>
  <si>
    <t>Gazeta Bieszczadzka</t>
  </si>
  <si>
    <t>Przychody</t>
  </si>
  <si>
    <t>Zadania w zak kultury fizycznej i sportu</t>
  </si>
  <si>
    <t>Przebudowa chodników w mieście</t>
  </si>
  <si>
    <t>Droga Ropienka</t>
  </si>
  <si>
    <t>Cmentarz Brzegi Dolne</t>
  </si>
  <si>
    <t>Dochody od osób pr., od osób fiz. i od innych jednostek nie posiad.osob.pr oraz wydatki związane z ich poborem</t>
  </si>
  <si>
    <t>Załącznik Nr 1</t>
  </si>
  <si>
    <t>Załącznik Nr 2</t>
  </si>
  <si>
    <t>Załącznik Nr 3</t>
  </si>
  <si>
    <t>Różne jednostki obsługi gospodarki mieszkaniowej</t>
  </si>
  <si>
    <t>Załącznik Nr 4</t>
  </si>
  <si>
    <t>Załącznik Nr 5</t>
  </si>
  <si>
    <t>Rozdz §</t>
  </si>
  <si>
    <t>Załącznik Nr 6</t>
  </si>
  <si>
    <t>Załącznik Nr 7</t>
  </si>
  <si>
    <t>Załącznik Nr 8</t>
  </si>
  <si>
    <t>Dochody</t>
  </si>
  <si>
    <t>Subwencja wyrównawcza:</t>
  </si>
  <si>
    <t>Plany zagospodarowania przestrzennego</t>
  </si>
  <si>
    <t>0970</t>
  </si>
  <si>
    <t>0830</t>
  </si>
  <si>
    <t>0470</t>
  </si>
  <si>
    <t>0750</t>
  </si>
  <si>
    <t>0770</t>
  </si>
  <si>
    <t>2010</t>
  </si>
  <si>
    <t>0350</t>
  </si>
  <si>
    <t>0310</t>
  </si>
  <si>
    <t>Podatek od nieruchomości</t>
  </si>
  <si>
    <t>0320</t>
  </si>
  <si>
    <t>Podatek rolny</t>
  </si>
  <si>
    <t>0330</t>
  </si>
  <si>
    <t>0340</t>
  </si>
  <si>
    <t>0360</t>
  </si>
  <si>
    <t>0370</t>
  </si>
  <si>
    <t>0430</t>
  </si>
  <si>
    <t>0500</t>
  </si>
  <si>
    <t>0910</t>
  </si>
  <si>
    <t>0410</t>
  </si>
  <si>
    <t>0460</t>
  </si>
  <si>
    <t>0480</t>
  </si>
  <si>
    <t>0010</t>
  </si>
  <si>
    <t>0020</t>
  </si>
  <si>
    <t>2920</t>
  </si>
  <si>
    <t>0920</t>
  </si>
  <si>
    <t>Gospodarka odpadami</t>
  </si>
  <si>
    <t>0400</t>
  </si>
  <si>
    <t>2310</t>
  </si>
  <si>
    <t>2030</t>
  </si>
  <si>
    <t>Świadczenia rodzinne oraz składki na ubezpieczenia</t>
  </si>
  <si>
    <t>Wodociąg w  m-ci Stańkowa - projekt</t>
  </si>
  <si>
    <t>Zakupy inwestycyjne</t>
  </si>
  <si>
    <t>Remont budynku UM</t>
  </si>
  <si>
    <t>0440</t>
  </si>
  <si>
    <t>Subwencja równoważąca</t>
  </si>
  <si>
    <t>0870</t>
  </si>
  <si>
    <t>Chodnik w m-ci Ustjanowa</t>
  </si>
  <si>
    <t>Droga Łobozew</t>
  </si>
  <si>
    <t xml:space="preserve">Przedszkola </t>
  </si>
  <si>
    <t>6260</t>
  </si>
  <si>
    <t>Domy pomocy społecznej</t>
  </si>
  <si>
    <t>Oddziały przedszkolne w szkołach podstawowych</t>
  </si>
  <si>
    <t>Urzędy naczel.organów władzy pań., kontroli i ochrony pr. oraz sąd.</t>
  </si>
  <si>
    <t>Udziały w podatku stanowiącym dochód bud.pań  w tym:</t>
  </si>
  <si>
    <t>Rachunek dochodów własnych przy SP Ustjanowa</t>
  </si>
  <si>
    <t>Rachunek dochodów własnych przy SP Krościenko</t>
  </si>
  <si>
    <t>Rachunek dochodów własnych przy SP Wojtkowa</t>
  </si>
  <si>
    <t>Rachunek dochodów własnych przy SP Hoszów</t>
  </si>
  <si>
    <t>Rachunek dochodów własnych przy SP Łodyna</t>
  </si>
  <si>
    <t>Rachunek dochodów własnych przy SP Równia</t>
  </si>
  <si>
    <t>Rachunek dochodów własnych przy SP Łobozew</t>
  </si>
  <si>
    <t>Rachunek dochodów własnych przy ZSP Ropienka</t>
  </si>
  <si>
    <t>Rozwiązanie gospodarki odpadami komunalnymi</t>
  </si>
  <si>
    <t>Przedszkole Nr 1 - projekt dachu</t>
  </si>
  <si>
    <t>Redukcja emisji zanieczyszczeń powietrza - termo modernizacja budynków użyteczności publicznej w gminie Ustrzyki D</t>
  </si>
  <si>
    <t>600</t>
  </si>
  <si>
    <t>Plan 2007</t>
  </si>
  <si>
    <t>Podatki i opłaty, w tym</t>
  </si>
  <si>
    <t>Podatek od śr.transportowych</t>
  </si>
  <si>
    <t xml:space="preserve">Opłata targowa </t>
  </si>
  <si>
    <t>Opłata miejscowa</t>
  </si>
  <si>
    <t>Dotacje, w tym:</t>
  </si>
  <si>
    <t>Dotacje na zadania real. na podstawie porozumień między jst</t>
  </si>
  <si>
    <t>Subwencje, w tym:</t>
  </si>
  <si>
    <t>Pozostałe dochody, w tym:</t>
  </si>
  <si>
    <t xml:space="preserve">Dochody uzyskiwane przez gminne jednostki budżetowe, w tym                 </t>
  </si>
  <si>
    <t>2360</t>
  </si>
  <si>
    <t>Pomoc materialna dla uczniów</t>
  </si>
  <si>
    <t xml:space="preserve">§ </t>
  </si>
  <si>
    <t>spłata kredytu BGK EBI</t>
  </si>
  <si>
    <t>spłata kredytu BBS</t>
  </si>
  <si>
    <t>Drogi publiczne wojewódzkie</t>
  </si>
  <si>
    <t>Droga Nowosielce</t>
  </si>
  <si>
    <t>Droga Brelików</t>
  </si>
  <si>
    <t>Oświetlenie Stańkowa</t>
  </si>
  <si>
    <t>Oświetlenie Jureczkowa</t>
  </si>
  <si>
    <t>Oświetlenie Równia</t>
  </si>
  <si>
    <t>Oświetlenie Brelików Leszczowate</t>
  </si>
  <si>
    <t>801</t>
  </si>
  <si>
    <t>921</t>
  </si>
  <si>
    <t>92195</t>
  </si>
  <si>
    <t>92116</t>
  </si>
  <si>
    <t>92109</t>
  </si>
  <si>
    <t>Pozostałe zadania w zakresie polityki społecznej</t>
  </si>
  <si>
    <t>Urzędy naczel.organów władzy pań, kontroli i ochrony prawa oraz sąd.</t>
  </si>
  <si>
    <t>Dochody od osób pr,osób fiz i od inn.jedn.niepos.osob.pr oraz wydatki związane z ich poborem</t>
  </si>
  <si>
    <t xml:space="preserve">                        Wydatki budżetu gminy  wg działów i rozdziałów                                                                </t>
  </si>
  <si>
    <t>Rozchody ogółem</t>
  </si>
  <si>
    <t>Przychody ogółem</t>
  </si>
  <si>
    <t xml:space="preserve">Projekt adaptacji budynku SPZOZ na Przedszkole </t>
  </si>
  <si>
    <t>Przeciwdziałanie narkomanii</t>
  </si>
  <si>
    <t>PGM</t>
  </si>
  <si>
    <t>Dotacje celowe otrzymane z bud.pań na realizację zadań zleconych</t>
  </si>
  <si>
    <t>Dotacje celowe otrzymane z bud.pań na realizację zadań własnych</t>
  </si>
  <si>
    <t>Deficyt</t>
  </si>
  <si>
    <t xml:space="preserve">Poprawa funkcjonalności infrastrukturalnej inicjatyw gospodarczo - społecznych poprzez przebudowę płyty Rynku w Ustrzykach Dolnych. </t>
  </si>
  <si>
    <t>Remont budynku ul. Naftowa</t>
  </si>
  <si>
    <t>Hala sportowa - projekt</t>
  </si>
  <si>
    <t>Chodnik w m.-ci Krościenko projekt</t>
  </si>
  <si>
    <t>ZSP Nr 1 - projekt dachu</t>
  </si>
  <si>
    <t>Wydatki bieżące - dotacja przedmiotowa</t>
  </si>
  <si>
    <t>Wydatki majątkowe - dotacja celowa</t>
  </si>
  <si>
    <t xml:space="preserve">Kolektor sanitarny ul. 29 Listopada, ul. Bieszczadzka </t>
  </si>
  <si>
    <t>Dotacja celowa</t>
  </si>
  <si>
    <t>Wykup działki w m.-ci Stańkowa</t>
  </si>
  <si>
    <t>Remont budynków ul. Rynek</t>
  </si>
  <si>
    <t>Remont chodnika w ciągu drogi wojewódzkiej</t>
  </si>
  <si>
    <t>Chodnik w m.-ci Brzegi Dolne (cmentarz) projekt</t>
  </si>
  <si>
    <t>%</t>
  </si>
  <si>
    <t>Poprawa funkcjonalności komunikacyjnej na terenach rekreacyjno - inwestycyjnych w Ustrzykach Dolnych - Etap II</t>
  </si>
  <si>
    <t xml:space="preserve">                        Wydatki budżetu gminy                                                 </t>
  </si>
  <si>
    <t>Wpływy i wydatki związane z gromadzeniem opłat produktowych</t>
  </si>
  <si>
    <t>Plan</t>
  </si>
  <si>
    <t>Wykonanie</t>
  </si>
  <si>
    <t>Rolnictwo</t>
  </si>
  <si>
    <t>756</t>
  </si>
  <si>
    <t>75621</t>
  </si>
  <si>
    <t>75615</t>
  </si>
  <si>
    <t>75616</t>
  </si>
  <si>
    <t>75601</t>
  </si>
  <si>
    <t>900</t>
  </si>
  <si>
    <t>90020</t>
  </si>
  <si>
    <t>75618</t>
  </si>
  <si>
    <t>700</t>
  </si>
  <si>
    <t>70005</t>
  </si>
  <si>
    <t>750</t>
  </si>
  <si>
    <t>75023</t>
  </si>
  <si>
    <t>0490</t>
  </si>
  <si>
    <t>926</t>
  </si>
  <si>
    <t>92605</t>
  </si>
  <si>
    <t>0690</t>
  </si>
  <si>
    <t>630</t>
  </si>
  <si>
    <t>63001</t>
  </si>
  <si>
    <t>710</t>
  </si>
  <si>
    <t>71095</t>
  </si>
  <si>
    <t>80101</t>
  </si>
  <si>
    <t>80195</t>
  </si>
  <si>
    <t>754</t>
  </si>
  <si>
    <t>75412</t>
  </si>
  <si>
    <t>852</t>
  </si>
  <si>
    <t>85212</t>
  </si>
  <si>
    <t>758</t>
  </si>
  <si>
    <t>75814</t>
  </si>
  <si>
    <t>0960</t>
  </si>
  <si>
    <t>85219</t>
  </si>
  <si>
    <t>80110</t>
  </si>
  <si>
    <t>85214</t>
  </si>
  <si>
    <t>85228</t>
  </si>
  <si>
    <t>01095</t>
  </si>
  <si>
    <t>75011</t>
  </si>
  <si>
    <t>751</t>
  </si>
  <si>
    <t>75101</t>
  </si>
  <si>
    <t>85203</t>
  </si>
  <si>
    <t>85213</t>
  </si>
  <si>
    <t>85295</t>
  </si>
  <si>
    <t>854</t>
  </si>
  <si>
    <t>85415</t>
  </si>
  <si>
    <t>75095</t>
  </si>
  <si>
    <t>2440</t>
  </si>
  <si>
    <t>2680</t>
  </si>
  <si>
    <t>60016</t>
  </si>
  <si>
    <t>75801</t>
  </si>
  <si>
    <t>75807</t>
  </si>
  <si>
    <t>75831</t>
  </si>
  <si>
    <t>8545</t>
  </si>
  <si>
    <t>Dotacje celowe otrzymane z fund.celowych  na realizację zadań własnych</t>
  </si>
  <si>
    <t>00195</t>
  </si>
  <si>
    <t>Dostarczanie ciepła</t>
  </si>
  <si>
    <t>Promocja jednostek samorządu terytorialnego</t>
  </si>
  <si>
    <t>Dotacja przedmiotowa</t>
  </si>
  <si>
    <t>Dotacja  podmiotowa</t>
  </si>
  <si>
    <t>Wydatki majatkowe</t>
  </si>
  <si>
    <t>Dotacja podmiotowa</t>
  </si>
  <si>
    <t>Pozostała działaność</t>
  </si>
  <si>
    <t>Dotacje celowe otrzym. z budż.pań.na real.zad.zleconych</t>
  </si>
  <si>
    <t>Lp</t>
  </si>
  <si>
    <t xml:space="preserve">Przychód </t>
  </si>
  <si>
    <t>Wydatek</t>
  </si>
  <si>
    <t>Przedszkole Nr 1</t>
  </si>
  <si>
    <t>Przedszkole Nr 2</t>
  </si>
  <si>
    <t>Nazwa rachunku dochodów własnych</t>
  </si>
  <si>
    <t>Dochód</t>
  </si>
  <si>
    <t>Rachunek dochodów własnych przy SP 1</t>
  </si>
  <si>
    <t>Rachunek dochodów własnych przy SP 2</t>
  </si>
  <si>
    <t>Różnica</t>
  </si>
  <si>
    <t>Deficyt/Nadwyżka</t>
  </si>
  <si>
    <t>Zakłady budżetowe</t>
  </si>
  <si>
    <t>Koszty</t>
  </si>
  <si>
    <t>Rachunek dochodów własnych</t>
  </si>
  <si>
    <t>Doch.wyk</t>
  </si>
  <si>
    <t>2320</t>
  </si>
  <si>
    <t>90003</t>
  </si>
  <si>
    <t>2850</t>
  </si>
  <si>
    <t>4300</t>
  </si>
  <si>
    <t>4430</t>
  </si>
  <si>
    <t>4750</t>
  </si>
  <si>
    <t>3020</t>
  </si>
  <si>
    <t>4010</t>
  </si>
  <si>
    <t>4040</t>
  </si>
  <si>
    <t>4110</t>
  </si>
  <si>
    <t>4120</t>
  </si>
  <si>
    <t>4170</t>
  </si>
  <si>
    <t>4210</t>
  </si>
  <si>
    <t>4280</t>
  </si>
  <si>
    <t>4410</t>
  </si>
  <si>
    <t>400</t>
  </si>
  <si>
    <t>40001</t>
  </si>
  <si>
    <t>6050</t>
  </si>
  <si>
    <t>40002</t>
  </si>
  <si>
    <t>2630</t>
  </si>
  <si>
    <t>40095</t>
  </si>
  <si>
    <t>4260</t>
  </si>
  <si>
    <t>500</t>
  </si>
  <si>
    <t>50095</t>
  </si>
  <si>
    <t>4100</t>
  </si>
  <si>
    <t>60013</t>
  </si>
  <si>
    <t>6300</t>
  </si>
  <si>
    <t>4270</t>
  </si>
  <si>
    <t>4350</t>
  </si>
  <si>
    <t>4360</t>
  </si>
  <si>
    <t>4370</t>
  </si>
  <si>
    <t>4440</t>
  </si>
  <si>
    <t>4740</t>
  </si>
  <si>
    <t>70004</t>
  </si>
  <si>
    <t>2650</t>
  </si>
  <si>
    <t>4580</t>
  </si>
  <si>
    <t>71004</t>
  </si>
  <si>
    <t>3030</t>
  </si>
  <si>
    <t>71035</t>
  </si>
  <si>
    <t>75022</t>
  </si>
  <si>
    <t>4140</t>
  </si>
  <si>
    <t>4420</t>
  </si>
  <si>
    <t>4480</t>
  </si>
  <si>
    <t>4500</t>
  </si>
  <si>
    <t>75075</t>
  </si>
  <si>
    <t>6060</t>
  </si>
  <si>
    <t>75495</t>
  </si>
  <si>
    <t>75647</t>
  </si>
  <si>
    <t>757</t>
  </si>
  <si>
    <t>75702</t>
  </si>
  <si>
    <t>8070</t>
  </si>
  <si>
    <t>75818</t>
  </si>
  <si>
    <t>4810</t>
  </si>
  <si>
    <t>3110</t>
  </si>
  <si>
    <t>4240</t>
  </si>
  <si>
    <t>6055</t>
  </si>
  <si>
    <t>6056</t>
  </si>
  <si>
    <t>80103</t>
  </si>
  <si>
    <t>80104</t>
  </si>
  <si>
    <t>2510</t>
  </si>
  <si>
    <t>80113</t>
  </si>
  <si>
    <t>80146</t>
  </si>
  <si>
    <t>851</t>
  </si>
  <si>
    <t>85153</t>
  </si>
  <si>
    <t>85154</t>
  </si>
  <si>
    <t>85202</t>
  </si>
  <si>
    <t>4330</t>
  </si>
  <si>
    <t>4018</t>
  </si>
  <si>
    <t>4118</t>
  </si>
  <si>
    <t>4128</t>
  </si>
  <si>
    <t>4178</t>
  </si>
  <si>
    <t>4218</t>
  </si>
  <si>
    <t>4308</t>
  </si>
  <si>
    <t>4700</t>
  </si>
  <si>
    <t>2910</t>
  </si>
  <si>
    <t>4560</t>
  </si>
  <si>
    <t>4130</t>
  </si>
  <si>
    <t>85215</t>
  </si>
  <si>
    <t>85401</t>
  </si>
  <si>
    <t>3040</t>
  </si>
  <si>
    <t>3240</t>
  </si>
  <si>
    <t>85446</t>
  </si>
  <si>
    <t>90001</t>
  </si>
  <si>
    <t>90004</t>
  </si>
  <si>
    <t>90015</t>
  </si>
  <si>
    <t>90095</t>
  </si>
  <si>
    <t>2480</t>
  </si>
  <si>
    <t>92120</t>
  </si>
  <si>
    <t>2830</t>
  </si>
  <si>
    <t>Ochrona zabytków i opieka nad zabytkami</t>
  </si>
  <si>
    <t>Nadwyżka z lat ubiegłych</t>
  </si>
  <si>
    <t>Rachunek dochodów wł. przy Urzędzie Miejskim</t>
  </si>
  <si>
    <t>WYDATKI  - Wyszczególnienie</t>
  </si>
  <si>
    <t>DOCHODY  - Wyszczególnienie</t>
  </si>
  <si>
    <t>Zaległości</t>
  </si>
  <si>
    <t xml:space="preserve">Ogółem </t>
  </si>
  <si>
    <t>Zal.alim.</t>
  </si>
  <si>
    <t>Zadłużenie</t>
  </si>
  <si>
    <t>% doch</t>
  </si>
  <si>
    <t>92695</t>
  </si>
  <si>
    <t>I</t>
  </si>
  <si>
    <t>Dochody bieżące budżetu</t>
  </si>
  <si>
    <t>Dochody z majątku gminy: dzierżawa, użytk.wiecz.</t>
  </si>
  <si>
    <t xml:space="preserve">Dochody za tenuty obwodów łowieckich </t>
  </si>
  <si>
    <t>Rekompensata utraconych dochodów z podatkach i opłatach lokalnych</t>
  </si>
  <si>
    <t>II</t>
  </si>
  <si>
    <t>Dochody majątkowe budżetu</t>
  </si>
  <si>
    <t>1.</t>
  </si>
  <si>
    <t>Dotacje i środki otrzymane na inwestycje</t>
  </si>
  <si>
    <t>Dochody ze sprzedaży majątku</t>
  </si>
  <si>
    <t>Dochody ze sprzedaży majątku -  drewno</t>
  </si>
  <si>
    <t>Dochody ze sprzedaży majątku - nieruchomości</t>
  </si>
  <si>
    <t>Dochody ze sprzedaży majątku - sprzedaż  Kryta Pływalnia</t>
  </si>
  <si>
    <t xml:space="preserve">Plan </t>
  </si>
  <si>
    <t>Dochody ze sprzedaży majątku - sprzedaż monet BCIP</t>
  </si>
  <si>
    <t>Dotacje celowe otrzym. z bud.pań na realizację zad. zlec. ogółem</t>
  </si>
  <si>
    <t>Dotacje celowe otrzym. z bud.pań na realizację zad. wł. ogółem</t>
  </si>
  <si>
    <t xml:space="preserve">   Dochody Krytej Pływalni (opłaty za korzystanie z basenu)</t>
  </si>
  <si>
    <t xml:space="preserve">   Dochody BCIiP  (sprzedaż biletów)</t>
  </si>
  <si>
    <t xml:space="preserve">   Dochody szkół  </t>
  </si>
  <si>
    <t xml:space="preserve">   5% doch.uzysk.na rzecz budż.pań. w zw.z real.zad.z zak.adm.rząd.</t>
  </si>
  <si>
    <t>Spadki, zapisy, darowizny w postaci pienięż., w tym:</t>
  </si>
  <si>
    <t xml:space="preserve">   Spadki, zapisy, darowizny w postaci pienięż.</t>
  </si>
  <si>
    <t>Wpływy z tytułu dochodów różnych (rozliczenia z lat ubiegłych), w tym:</t>
  </si>
  <si>
    <t xml:space="preserve">   Wpływy z tytułu dochodów różnych (rozliczenia z lat ubiegłych)</t>
  </si>
  <si>
    <t xml:space="preserve">   Dochody z tytułu działalności usługowej (reklama)</t>
  </si>
  <si>
    <t>Wpływy z opłat, w tym:</t>
  </si>
  <si>
    <t xml:space="preserve">   Wpływy z opłat za rejestrację podmiotów gospodarczych</t>
  </si>
  <si>
    <t xml:space="preserve">   Wpływy z opłat za zezwolenie za sprzedaż alkoholu</t>
  </si>
  <si>
    <t xml:space="preserve">   Wpływy z tytułu opłaty produktowej</t>
  </si>
  <si>
    <t xml:space="preserve">   Wpływy z tytułu opłaty startowej</t>
  </si>
  <si>
    <t>Odsetki, w tym:</t>
  </si>
  <si>
    <t>80148</t>
  </si>
  <si>
    <t>Zarządzanie kryzysowe</t>
  </si>
  <si>
    <t>Stołówki szkolne</t>
  </si>
  <si>
    <t>Spłaty otrzymanych krajowych pożyczek i kredytów</t>
  </si>
  <si>
    <t xml:space="preserve">Przychody z zaciągniętych pożyczek i kredytów </t>
  </si>
  <si>
    <t>Kredyty krajowe w tym</t>
  </si>
  <si>
    <t>Kredyt w banku komercyjnym</t>
  </si>
  <si>
    <t>Należności 2008</t>
  </si>
  <si>
    <t>Zobow 2008</t>
  </si>
  <si>
    <t xml:space="preserve">   Odsetki od nieterminowo przek. należności stanow. dochody gminy</t>
  </si>
  <si>
    <t xml:space="preserve">   Odsetki od nienależnie pobranych świadczeń</t>
  </si>
  <si>
    <t xml:space="preserve">   Pozostałe odsetki (m..in.od lokat bankowych)</t>
  </si>
  <si>
    <t>III</t>
  </si>
  <si>
    <t>Dotacje celowe otrzymane z fund.celowych na real. zadań wł.:</t>
  </si>
  <si>
    <t>5% doch.uzysk.na rzecz bud.pań. w zw.z real.zadań z zak.adm.rządowej</t>
  </si>
  <si>
    <t>0840</t>
  </si>
  <si>
    <t>40078</t>
  </si>
  <si>
    <t>6208</t>
  </si>
  <si>
    <t>6330</t>
  </si>
  <si>
    <t>60078</t>
  </si>
  <si>
    <t>63095</t>
  </si>
  <si>
    <t>0760</t>
  </si>
  <si>
    <t>75113</t>
  </si>
  <si>
    <t>2008</t>
  </si>
  <si>
    <t>2009</t>
  </si>
  <si>
    <t>6058</t>
  </si>
  <si>
    <t>60014</t>
  </si>
  <si>
    <t>4590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</si>
  <si>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</si>
  <si>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</si>
  <si>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</si>
  <si>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</si>
  <si>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</si>
  <si>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</si>
  <si>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</si>
  <si>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</si>
  <si>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</si>
  <si>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</si>
  <si>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6065</t>
  </si>
  <si>
    <t>6066</t>
  </si>
  <si>
    <t>75404</t>
  </si>
  <si>
    <t>3000</t>
  </si>
  <si>
    <t>4219</t>
  </si>
  <si>
    <t>2518</t>
  </si>
  <si>
    <t>2519</t>
  </si>
  <si>
    <t>4119</t>
  </si>
  <si>
    <t>4129</t>
  </si>
  <si>
    <t>4179</t>
  </si>
  <si>
    <t>4220</t>
  </si>
  <si>
    <t>4228</t>
  </si>
  <si>
    <t>4229</t>
  </si>
  <si>
    <t>4309</t>
  </si>
  <si>
    <t>3119</t>
  </si>
  <si>
    <t>4019</t>
  </si>
  <si>
    <t>4288</t>
  </si>
  <si>
    <t>4289</t>
  </si>
  <si>
    <t>4368</t>
  </si>
  <si>
    <t>4369</t>
  </si>
  <si>
    <t>4448</t>
  </si>
  <si>
    <t>4449</t>
  </si>
  <si>
    <t>4708</t>
  </si>
  <si>
    <t>4709</t>
  </si>
  <si>
    <t>Usuwanie skutków klęsk żywiołowych</t>
  </si>
  <si>
    <t>Drogi publiczne powiatowe</t>
  </si>
  <si>
    <t>Wybory do Parlamentu Europ.</t>
  </si>
  <si>
    <t xml:space="preserve">Komendy Wojewódzkie Policji </t>
  </si>
  <si>
    <t xml:space="preserve">   Dochody MOEIW (usł.wyp.)</t>
  </si>
  <si>
    <t>Dochody ze sprzedaży majątku - sprzedaż UM</t>
  </si>
  <si>
    <t>Strategia zarządzania kulturą i ruchem turystycznym w przygranicznych obszarach Polski i Ukrainy</t>
  </si>
  <si>
    <t xml:space="preserve">Umowa o dofinan. Inwest. z WNP Przebudowy Dróg Lokalnych </t>
  </si>
  <si>
    <t>Umowa o dofinan. Inwest. z Fund. Norweskich</t>
  </si>
  <si>
    <t>Poprawa warunków bezpieczeństwa i nośności gminnej drogi publicznej Nr 119210 R w m-ci Teleśnica</t>
  </si>
  <si>
    <t>Dotacje celowe otrzymane z fund.celowych na realizację inwest.</t>
  </si>
  <si>
    <t>Dotacje celowe otrzymane z fund.celowych na realizację inwest. NFOŚ</t>
  </si>
  <si>
    <t>Wpływy z tytułu pomocy fin udz.między jst na dofin.wł.zad.inw</t>
  </si>
  <si>
    <t>Dotacja rozwojowe wg zawartych umów:</t>
  </si>
  <si>
    <t>Dotacja rozwojowa EFS "Czas na aktywność w Gminie Ustrzyki Dolne"</t>
  </si>
  <si>
    <t>Dotacja rozwojowa EFS "Przedszkole przyjazne środowisku"</t>
  </si>
  <si>
    <t xml:space="preserve">pożyczka WFOŚIGW </t>
  </si>
  <si>
    <t>Plan 2009</t>
  </si>
  <si>
    <t>Dochód             Plan 2009</t>
  </si>
  <si>
    <t>Stan funduszu na 01-01-2009</t>
  </si>
  <si>
    <t>Stan funduszu na 30-06-2009</t>
  </si>
  <si>
    <t>Rachunek dochodów własnych przy G Wojtkówka</t>
  </si>
  <si>
    <t>Należności 2009</t>
  </si>
  <si>
    <t>Zobow 2009</t>
  </si>
  <si>
    <t>majątku</t>
  </si>
  <si>
    <t>karta pod.</t>
  </si>
  <si>
    <t>podatki PR</t>
  </si>
  <si>
    <t>podatki PF</t>
  </si>
  <si>
    <t>inne</t>
  </si>
  <si>
    <t>odsetki</t>
  </si>
  <si>
    <t>zaległości z odsetkami</t>
  </si>
  <si>
    <t>2009 pierwotne</t>
  </si>
  <si>
    <t>umorzenie</t>
  </si>
  <si>
    <t>Dochody budżetu gminy  wg działów klasyfikacji budżetowej -  2009 rok</t>
  </si>
  <si>
    <t>Dochody  budżetu gminy wg źródeł powstawania  -  2009 rok</t>
  </si>
  <si>
    <t>60017</t>
  </si>
  <si>
    <t>75802</t>
  </si>
  <si>
    <t>2750</t>
  </si>
  <si>
    <t>Subwencja uzupełniająca</t>
  </si>
  <si>
    <t xml:space="preserve">Opłata od posiadania psów </t>
  </si>
  <si>
    <t>Dotacja rozwojowa EFS "Radość dzieci" (ZSP Ropienka)</t>
  </si>
  <si>
    <t>Umowa o dofinan.inwestycji z RPO</t>
  </si>
  <si>
    <t xml:space="preserve">Uporządkowanie gospodarki ściekowej w gminie Ustrzyki Dolne - budowa wodociągu wiejskiego w Dźwiniaczu Dolnym  i Stańkowej    </t>
  </si>
  <si>
    <t>DZIAL</t>
  </si>
  <si>
    <t>ROZDZIAL</t>
  </si>
  <si>
    <t>PAR</t>
  </si>
  <si>
    <t>6010</t>
  </si>
  <si>
    <t>6059</t>
  </si>
  <si>
    <t>4600</t>
  </si>
  <si>
    <t>4439</t>
  </si>
  <si>
    <t>853</t>
  </si>
  <si>
    <t>85395</t>
  </si>
  <si>
    <t>6220</t>
  </si>
  <si>
    <t xml:space="preserve">                        Wydatki budżetu gminy  wg działów i rozdziałów    -  2009 rok                                                 </t>
  </si>
  <si>
    <t>Drogi wewnętrzne</t>
  </si>
  <si>
    <t>Dotacja celowa na inwestycje</t>
  </si>
  <si>
    <t>Przychody i rozchody budżetu -  2009 rok</t>
  </si>
  <si>
    <t>wolne środki do dyspozycji</t>
  </si>
  <si>
    <t>Dochody i wydatki związane z real. zadań z zakresu administracji rządowej -  2009 rok</t>
  </si>
  <si>
    <t>Zestawienie przychodów i wydatków zakładów budżetowych  -  wykonanie  2009 rok</t>
  </si>
  <si>
    <t>Zestawienie dochodów i wydatków rachunku dochodów własnych -  wykonanie  2009 rok</t>
  </si>
  <si>
    <t>Zestawienie przychodów i wydatków GFOŚ - wykonanie 2009 rok</t>
  </si>
  <si>
    <t>Przychody od 01-01-2009 do 31-12-2009</t>
  </si>
  <si>
    <t>Wydatki od 01-01-2009 do 31-12-2009</t>
  </si>
  <si>
    <t>31-12-2009</t>
  </si>
  <si>
    <t xml:space="preserve">   Wpływy z tytułu dochodów różnych (odszkodowanie)</t>
  </si>
  <si>
    <t>Dotacje</t>
  </si>
  <si>
    <t>Wydatki na OŚWIATĘ  w 2009 roku</t>
  </si>
  <si>
    <t xml:space="preserve">Do wyd.na oświatę </t>
  </si>
  <si>
    <t>Razem grupami wydatków</t>
  </si>
  <si>
    <t xml:space="preserve">ZSP Nr 1 </t>
  </si>
  <si>
    <t>SP Wojtkowa (ogrodzenie)</t>
  </si>
  <si>
    <t xml:space="preserve">SP Łobozew </t>
  </si>
  <si>
    <t>ZSP Ropienka (projekt kotłowni)</t>
  </si>
  <si>
    <t>Modernizacja co SP Krościenko</t>
  </si>
  <si>
    <t>Modernizacja kotłowni w SP w m-ci Krościenko</t>
  </si>
  <si>
    <t>Zakupy inwestycyjne (SP Wojtkowa)</t>
  </si>
  <si>
    <t>Wspieranie systemu edukacji w gminie Ustrzyki D. poprzez adaptację budynku użyteczności publicznej na cele przedszkolne. Przebudowa, nadbudowa i rozbudowa budynku byłego ZOZ na Przedszkole</t>
  </si>
  <si>
    <t>Spadek</t>
  </si>
  <si>
    <t>Zakupy inwestycyjne (SP Równia - kocioł co)</t>
  </si>
  <si>
    <t>Zakupy inwestycyjne  (ZSP 1 kocioł)</t>
  </si>
  <si>
    <t>Poprawa Bezpieczeństwa Ruchu Drogowego w rejonie SP  w Ustjanowej</t>
  </si>
  <si>
    <t xml:space="preserve">Redukcja emisji zanieczyszczeń powietrza - termo modernizacja budynków użyteczności publicznej </t>
  </si>
  <si>
    <t>Zakupy inwestycyjne (Basen)</t>
  </si>
  <si>
    <t>Wydatki majątkowe w budżecie</t>
  </si>
  <si>
    <t>Wydatki majątkowe pozabudżetowo - w ramach rachunku dochodów własnych</t>
  </si>
  <si>
    <t>G Wojtkówka</t>
  </si>
  <si>
    <t>SP Łodyna</t>
  </si>
  <si>
    <t>SP Hoszów</t>
  </si>
  <si>
    <t xml:space="preserve">Wydatki remontowe </t>
  </si>
  <si>
    <t>SP Łobozew</t>
  </si>
  <si>
    <t>ZSP Nr 1</t>
  </si>
  <si>
    <t>SP Krościenko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</si>
</sst>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_z_ł_-;\-* #,##0.0\ _z_ł_-;_-* &quot;-&quot;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19">
    <font>
      <sz val="10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</font>
    <font>
      <b/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Narrow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5" xfId="0" applyNumberFormat="1" applyFont="1" applyBorder="1" applyAlignment="1">
      <alignment horizontal="right" vertical="top" wrapText="1"/>
    </xf>
    <xf numFmtId="49" fontId="5" fillId="0" borderId="6" xfId="0" applyNumberFormat="1" applyFont="1" applyBorder="1" applyAlignment="1">
      <alignment horizontal="right" vertical="top" wrapText="1"/>
    </xf>
    <xf numFmtId="49" fontId="5" fillId="0" borderId="7" xfId="0" applyNumberFormat="1" applyFont="1" applyBorder="1" applyAlignment="1">
      <alignment horizontal="right" vertical="top" wrapText="1"/>
    </xf>
    <xf numFmtId="49" fontId="4" fillId="0" borderId="8" xfId="0" applyNumberFormat="1" applyFont="1" applyBorder="1" applyAlignment="1">
      <alignment horizontal="right" vertical="top" wrapText="1"/>
    </xf>
    <xf numFmtId="49" fontId="5" fillId="0" borderId="8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0" borderId="0" xfId="0" applyFont="1" applyAlignment="1">
      <alignment/>
    </xf>
    <xf numFmtId="43" fontId="5" fillId="0" borderId="0" xfId="15" applyFont="1" applyAlignment="1">
      <alignment/>
    </xf>
    <xf numFmtId="0" fontId="4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168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3" fontId="5" fillId="0" borderId="0" xfId="15" applyFont="1" applyAlignment="1">
      <alignment horizontal="left" vertical="justify"/>
    </xf>
    <xf numFmtId="43" fontId="5" fillId="0" borderId="0" xfId="15" applyFont="1" applyAlignment="1">
      <alignment/>
    </xf>
    <xf numFmtId="43" fontId="5" fillId="0" borderId="4" xfId="15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3" fontId="4" fillId="0" borderId="3" xfId="15" applyFont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5" fillId="0" borderId="15" xfId="1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8" fontId="5" fillId="0" borderId="0" xfId="15" applyNumberFormat="1" applyFont="1" applyAlignment="1">
      <alignment horizontal="center" vertical="justify"/>
    </xf>
    <xf numFmtId="0" fontId="5" fillId="0" borderId="6" xfId="0" applyFont="1" applyFill="1" applyBorder="1" applyAlignment="1">
      <alignment vertical="top" wrapText="1"/>
    </xf>
    <xf numFmtId="43" fontId="5" fillId="0" borderId="4" xfId="15" applyFont="1" applyBorder="1" applyAlignment="1">
      <alignment horizontal="center"/>
    </xf>
    <xf numFmtId="0" fontId="5" fillId="0" borderId="4" xfId="0" applyFont="1" applyFill="1" applyBorder="1" applyAlignment="1">
      <alignment vertical="top" wrapText="1"/>
    </xf>
    <xf numFmtId="43" fontId="5" fillId="0" borderId="3" xfId="15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5" fillId="0" borderId="2" xfId="15" applyFont="1" applyBorder="1" applyAlignment="1">
      <alignment horizontal="center"/>
    </xf>
    <xf numFmtId="43" fontId="5" fillId="0" borderId="0" xfId="15" applyFont="1" applyAlignment="1">
      <alignment horizontal="center"/>
    </xf>
    <xf numFmtId="0" fontId="5" fillId="0" borderId="4" xfId="0" applyFont="1" applyBorder="1" applyAlignment="1">
      <alignment horizontal="right" vertical="top" wrapText="1"/>
    </xf>
    <xf numFmtId="43" fontId="5" fillId="0" borderId="2" xfId="15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43" fontId="5" fillId="0" borderId="1" xfId="15" applyFont="1" applyBorder="1" applyAlignment="1">
      <alignment horizontal="center" vertical="top"/>
    </xf>
    <xf numFmtId="43" fontId="4" fillId="0" borderId="3" xfId="15" applyFont="1" applyBorder="1" applyAlignment="1">
      <alignment horizontal="center" vertical="top"/>
    </xf>
    <xf numFmtId="43" fontId="4" fillId="0" borderId="3" xfId="15" applyFont="1" applyBorder="1" applyAlignment="1">
      <alignment vertical="top"/>
    </xf>
    <xf numFmtId="43" fontId="5" fillId="0" borderId="4" xfId="15" applyFont="1" applyBorder="1" applyAlignment="1">
      <alignment vertical="top"/>
    </xf>
    <xf numFmtId="43" fontId="5" fillId="0" borderId="2" xfId="15" applyFont="1" applyBorder="1" applyAlignment="1">
      <alignment vertical="top"/>
    </xf>
    <xf numFmtId="43" fontId="4" fillId="0" borderId="14" xfId="15" applyFont="1" applyBorder="1" applyAlignment="1">
      <alignment vertical="top"/>
    </xf>
    <xf numFmtId="43" fontId="5" fillId="0" borderId="15" xfId="15" applyFont="1" applyBorder="1" applyAlignment="1">
      <alignment vertical="top"/>
    </xf>
    <xf numFmtId="43" fontId="5" fillId="0" borderId="18" xfId="15" applyFont="1" applyBorder="1" applyAlignment="1">
      <alignment vertical="top"/>
    </xf>
    <xf numFmtId="43" fontId="5" fillId="0" borderId="0" xfId="0" applyNumberFormat="1" applyFont="1" applyAlignment="1">
      <alignment horizontal="center" vertical="top"/>
    </xf>
    <xf numFmtId="43" fontId="12" fillId="0" borderId="0" xfId="15" applyFont="1" applyAlignment="1">
      <alignment vertical="top"/>
    </xf>
    <xf numFmtId="43" fontId="5" fillId="0" borderId="2" xfId="15" applyFont="1" applyBorder="1" applyAlignment="1">
      <alignment vertical="top" wrapText="1"/>
    </xf>
    <xf numFmtId="43" fontId="4" fillId="0" borderId="4" xfId="15" applyFont="1" applyBorder="1" applyAlignment="1">
      <alignment vertical="top"/>
    </xf>
    <xf numFmtId="43" fontId="5" fillId="0" borderId="4" xfId="15" applyFont="1" applyBorder="1" applyAlignment="1">
      <alignment vertical="top" wrapText="1"/>
    </xf>
    <xf numFmtId="43" fontId="5" fillId="0" borderId="15" xfId="15" applyFont="1" applyBorder="1" applyAlignment="1">
      <alignment vertical="top" wrapText="1"/>
    </xf>
    <xf numFmtId="43" fontId="4" fillId="0" borderId="14" xfId="15" applyFont="1" applyBorder="1" applyAlignment="1">
      <alignment vertical="top" wrapText="1"/>
    </xf>
    <xf numFmtId="43" fontId="5" fillId="0" borderId="18" xfId="15" applyFont="1" applyBorder="1" applyAlignment="1">
      <alignment vertical="top" wrapText="1"/>
    </xf>
    <xf numFmtId="43" fontId="5" fillId="0" borderId="15" xfId="15" applyFont="1" applyFill="1" applyBorder="1" applyAlignment="1">
      <alignment vertical="top" wrapText="1"/>
    </xf>
    <xf numFmtId="43" fontId="5" fillId="0" borderId="4" xfId="15" applyFont="1" applyBorder="1" applyAlignment="1">
      <alignment horizontal="justify" vertical="top"/>
    </xf>
    <xf numFmtId="43" fontId="4" fillId="0" borderId="4" xfId="15" applyFont="1" applyBorder="1" applyAlignment="1">
      <alignment horizontal="center" vertical="top"/>
    </xf>
    <xf numFmtId="43" fontId="5" fillId="0" borderId="4" xfId="15" applyFont="1" applyBorder="1" applyAlignment="1">
      <alignment horizontal="center" vertical="top"/>
    </xf>
    <xf numFmtId="43" fontId="4" fillId="0" borderId="14" xfId="15" applyFont="1" applyBorder="1" applyAlignment="1">
      <alignment horizontal="center" vertical="top"/>
    </xf>
    <xf numFmtId="43" fontId="5" fillId="0" borderId="15" xfId="15" applyFont="1" applyBorder="1" applyAlignment="1">
      <alignment horizontal="center" vertical="top"/>
    </xf>
    <xf numFmtId="43" fontId="10" fillId="0" borderId="0" xfId="15" applyFont="1" applyAlignment="1">
      <alignment horizontal="center" vertical="top"/>
    </xf>
    <xf numFmtId="43" fontId="5" fillId="0" borderId="4" xfId="15" applyFont="1" applyFill="1" applyBorder="1" applyAlignment="1">
      <alignment vertical="top"/>
    </xf>
    <xf numFmtId="0" fontId="4" fillId="0" borderId="3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3" fontId="4" fillId="2" borderId="1" xfId="15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left" vertical="top" wrapText="1"/>
    </xf>
    <xf numFmtId="43" fontId="4" fillId="2" borderId="3" xfId="15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vertical="top" wrapText="1"/>
    </xf>
    <xf numFmtId="43" fontId="4" fillId="2" borderId="3" xfId="15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top" wrapText="1"/>
    </xf>
    <xf numFmtId="43" fontId="4" fillId="0" borderId="4" xfId="15" applyFont="1" applyBorder="1" applyAlignment="1">
      <alignment/>
    </xf>
    <xf numFmtId="43" fontId="4" fillId="2" borderId="1" xfId="15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 wrapText="1"/>
    </xf>
    <xf numFmtId="43" fontId="4" fillId="2" borderId="1" xfId="15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3" fontId="5" fillId="0" borderId="4" xfId="15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43" fontId="5" fillId="0" borderId="4" xfId="15" applyFont="1" applyBorder="1" applyAlignment="1">
      <alignment horizontal="left"/>
    </xf>
    <xf numFmtId="43" fontId="5" fillId="0" borderId="2" xfId="15" applyFont="1" applyBorder="1" applyAlignment="1">
      <alignment horizontal="left"/>
    </xf>
    <xf numFmtId="43" fontId="0" fillId="0" borderId="0" xfId="0" applyNumberFormat="1" applyFont="1" applyAlignment="1">
      <alignment/>
    </xf>
    <xf numFmtId="0" fontId="4" fillId="0" borderId="6" xfId="0" applyFont="1" applyBorder="1" applyAlignment="1">
      <alignment vertical="top" wrapText="1"/>
    </xf>
    <xf numFmtId="43" fontId="4" fillId="0" borderId="15" xfId="15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3" fontId="5" fillId="0" borderId="18" xfId="15" applyFont="1" applyFill="1" applyBorder="1" applyAlignment="1">
      <alignment vertical="top" wrapText="1"/>
    </xf>
    <xf numFmtId="43" fontId="4" fillId="2" borderId="1" xfId="15" applyFont="1" applyFill="1" applyBorder="1" applyAlignment="1">
      <alignment horizontal="center"/>
    </xf>
    <xf numFmtId="43" fontId="5" fillId="0" borderId="0" xfId="15" applyFont="1" applyBorder="1" applyAlignment="1">
      <alignment vertical="top"/>
    </xf>
    <xf numFmtId="43" fontId="5" fillId="0" borderId="0" xfId="15" applyFont="1" applyBorder="1" applyAlignment="1">
      <alignment vertical="top" wrapText="1"/>
    </xf>
    <xf numFmtId="43" fontId="5" fillId="0" borderId="0" xfId="15" applyFont="1" applyFill="1" applyBorder="1" applyAlignment="1">
      <alignment vertical="top" wrapText="1"/>
    </xf>
    <xf numFmtId="43" fontId="4" fillId="0" borderId="12" xfId="15" applyFont="1" applyBorder="1" applyAlignment="1">
      <alignment vertical="top"/>
    </xf>
    <xf numFmtId="43" fontId="5" fillId="0" borderId="13" xfId="15" applyFont="1" applyBorder="1" applyAlignment="1">
      <alignment vertical="top"/>
    </xf>
    <xf numFmtId="43" fontId="5" fillId="0" borderId="18" xfId="15" applyFont="1" applyBorder="1" applyAlignment="1">
      <alignment horizontal="center" vertical="top"/>
    </xf>
    <xf numFmtId="0" fontId="4" fillId="2" borderId="2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3" fontId="5" fillId="0" borderId="2" xfId="15" applyFont="1" applyBorder="1" applyAlignment="1">
      <alignment horizontal="center" vertical="top"/>
    </xf>
    <xf numFmtId="43" fontId="5" fillId="0" borderId="3" xfId="15" applyFont="1" applyBorder="1" applyAlignment="1">
      <alignment horizontal="center" vertical="top"/>
    </xf>
    <xf numFmtId="43" fontId="4" fillId="0" borderId="5" xfId="15" applyFont="1" applyBorder="1" applyAlignment="1">
      <alignment vertical="top"/>
    </xf>
    <xf numFmtId="43" fontId="5" fillId="0" borderId="6" xfId="15" applyFont="1" applyBorder="1" applyAlignment="1">
      <alignment vertical="top" wrapText="1"/>
    </xf>
    <xf numFmtId="43" fontId="5" fillId="0" borderId="7" xfId="15" applyFont="1" applyBorder="1" applyAlignment="1">
      <alignment vertical="top" wrapText="1"/>
    </xf>
    <xf numFmtId="43" fontId="5" fillId="0" borderId="6" xfId="15" applyFont="1" applyFill="1" applyBorder="1" applyAlignment="1">
      <alignment vertical="top"/>
    </xf>
    <xf numFmtId="43" fontId="5" fillId="0" borderId="6" xfId="15" applyFont="1" applyBorder="1" applyAlignment="1">
      <alignment vertical="top"/>
    </xf>
    <xf numFmtId="43" fontId="5" fillId="0" borderId="6" xfId="15" applyFont="1" applyFill="1" applyBorder="1" applyAlignment="1">
      <alignment vertical="top" wrapText="1"/>
    </xf>
    <xf numFmtId="43" fontId="5" fillId="0" borderId="13" xfId="15" applyFont="1" applyBorder="1" applyAlignment="1">
      <alignment vertical="top" wrapText="1"/>
    </xf>
    <xf numFmtId="43" fontId="4" fillId="0" borderId="6" xfId="15" applyFont="1" applyBorder="1" applyAlignment="1">
      <alignment vertical="top"/>
    </xf>
    <xf numFmtId="43" fontId="4" fillId="0" borderId="5" xfId="15" applyFont="1" applyBorder="1" applyAlignment="1">
      <alignment horizontal="center" vertical="top"/>
    </xf>
    <xf numFmtId="43" fontId="5" fillId="0" borderId="6" xfId="15" applyFont="1" applyBorder="1" applyAlignment="1">
      <alignment horizontal="center" vertical="top"/>
    </xf>
    <xf numFmtId="43" fontId="5" fillId="0" borderId="5" xfId="15" applyFont="1" applyBorder="1" applyAlignment="1">
      <alignment horizontal="center" vertical="top"/>
    </xf>
    <xf numFmtId="43" fontId="4" fillId="0" borderId="12" xfId="15" applyFont="1" applyBorder="1" applyAlignment="1">
      <alignment horizontal="center" vertical="top"/>
    </xf>
    <xf numFmtId="43" fontId="5" fillId="0" borderId="0" xfId="15" applyFont="1" applyBorder="1" applyAlignment="1">
      <alignment horizontal="center" vertical="top"/>
    </xf>
    <xf numFmtId="43" fontId="4" fillId="2" borderId="23" xfId="15" applyFont="1" applyFill="1" applyBorder="1" applyAlignment="1">
      <alignment horizontal="center" vertical="top"/>
    </xf>
    <xf numFmtId="0" fontId="11" fillId="2" borderId="1" xfId="0" applyFont="1" applyFill="1" applyBorder="1" applyAlignment="1">
      <alignment/>
    </xf>
    <xf numFmtId="43" fontId="5" fillId="2" borderId="1" xfId="15" applyFont="1" applyFill="1" applyBorder="1" applyAlignment="1">
      <alignment/>
    </xf>
    <xf numFmtId="4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3" fontId="4" fillId="2" borderId="5" xfId="15" applyFont="1" applyFill="1" applyBorder="1" applyAlignment="1">
      <alignment horizontal="center" vertical="top"/>
    </xf>
    <xf numFmtId="43" fontId="5" fillId="0" borderId="12" xfId="15" applyFont="1" applyBorder="1" applyAlignment="1">
      <alignment vertical="top"/>
    </xf>
    <xf numFmtId="43" fontId="5" fillId="0" borderId="3" xfId="15" applyFont="1" applyBorder="1" applyAlignment="1">
      <alignment vertical="top"/>
    </xf>
    <xf numFmtId="43" fontId="5" fillId="0" borderId="5" xfId="15" applyFont="1" applyBorder="1" applyAlignment="1">
      <alignment horizontal="center"/>
    </xf>
    <xf numFmtId="43" fontId="7" fillId="0" borderId="6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3" fontId="4" fillId="0" borderId="5" xfId="15" applyFont="1" applyBorder="1" applyAlignment="1">
      <alignment vertical="center"/>
    </xf>
    <xf numFmtId="43" fontId="4" fillId="0" borderId="3" xfId="15" applyFont="1" applyBorder="1" applyAlignment="1">
      <alignment vertical="center"/>
    </xf>
    <xf numFmtId="43" fontId="5" fillId="0" borderId="6" xfId="15" applyFont="1" applyBorder="1" applyAlignment="1">
      <alignment vertical="center"/>
    </xf>
    <xf numFmtId="43" fontId="5" fillId="0" borderId="4" xfId="15" applyFont="1" applyBorder="1" applyAlignment="1">
      <alignment vertical="center"/>
    </xf>
    <xf numFmtId="43" fontId="5" fillId="0" borderId="2" xfId="15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3" fontId="5" fillId="0" borderId="1" xfId="15" applyFont="1" applyBorder="1" applyAlignment="1">
      <alignment horizontal="center" vertical="center" wrapText="1"/>
    </xf>
    <xf numFmtId="43" fontId="4" fillId="2" borderId="14" xfId="15" applyFont="1" applyFill="1" applyBorder="1" applyAlignment="1">
      <alignment horizontal="center" vertical="center"/>
    </xf>
    <xf numFmtId="43" fontId="4" fillId="2" borderId="18" xfId="15" applyFont="1" applyFill="1" applyBorder="1" applyAlignment="1">
      <alignment horizontal="center" vertical="center"/>
    </xf>
    <xf numFmtId="43" fontId="4" fillId="2" borderId="2" xfId="15" applyFont="1" applyFill="1" applyBorder="1" applyAlignment="1">
      <alignment horizontal="center" vertical="center"/>
    </xf>
    <xf numFmtId="43" fontId="4" fillId="2" borderId="15" xfId="15" applyFont="1" applyFill="1" applyBorder="1" applyAlignment="1">
      <alignment horizontal="center" vertical="center"/>
    </xf>
    <xf numFmtId="43" fontId="4" fillId="2" borderId="4" xfId="15" applyFont="1" applyFill="1" applyBorder="1" applyAlignment="1">
      <alignment horizontal="center" vertical="center"/>
    </xf>
    <xf numFmtId="43" fontId="5" fillId="0" borderId="14" xfId="15" applyFont="1" applyBorder="1" applyAlignment="1">
      <alignment horizontal="center"/>
    </xf>
    <xf numFmtId="43" fontId="5" fillId="0" borderId="15" xfId="15" applyFont="1" applyBorder="1" applyAlignment="1">
      <alignment/>
    </xf>
    <xf numFmtId="168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5" fillId="0" borderId="6" xfId="15" applyFont="1" applyBorder="1" applyAlignment="1">
      <alignment horizontal="center"/>
    </xf>
    <xf numFmtId="43" fontId="4" fillId="0" borderId="7" xfId="15" applyFont="1" applyBorder="1" applyAlignment="1">
      <alignment horizontal="center"/>
    </xf>
    <xf numFmtId="43" fontId="5" fillId="0" borderId="18" xfId="15" applyFont="1" applyBorder="1" applyAlignment="1">
      <alignment horizontal="center"/>
    </xf>
    <xf numFmtId="43" fontId="5" fillId="0" borderId="7" xfId="15" applyFont="1" applyBorder="1" applyAlignment="1">
      <alignment horizontal="center"/>
    </xf>
    <xf numFmtId="43" fontId="5" fillId="0" borderId="1" xfId="15" applyFont="1" applyBorder="1" applyAlignment="1">
      <alignment horizontal="center"/>
    </xf>
    <xf numFmtId="43" fontId="4" fillId="0" borderId="0" xfId="15" applyFont="1" applyAlignment="1">
      <alignment horizontal="center"/>
    </xf>
    <xf numFmtId="43" fontId="5" fillId="0" borderId="4" xfId="15" applyFont="1" applyFill="1" applyBorder="1" applyAlignment="1">
      <alignment horizontal="center"/>
    </xf>
    <xf numFmtId="43" fontId="5" fillId="0" borderId="2" xfId="15" applyFont="1" applyFill="1" applyBorder="1" applyAlignment="1">
      <alignment/>
    </xf>
    <xf numFmtId="43" fontId="5" fillId="0" borderId="18" xfId="15" applyFont="1" applyFill="1" applyBorder="1" applyAlignment="1">
      <alignment/>
    </xf>
    <xf numFmtId="168" fontId="1" fillId="0" borderId="0" xfId="15" applyNumberFormat="1" applyFont="1" applyAlignment="1">
      <alignment/>
    </xf>
    <xf numFmtId="168" fontId="5" fillId="0" borderId="0" xfId="15" applyNumberFormat="1" applyFont="1" applyAlignment="1">
      <alignment horizontal="center" vertical="top"/>
    </xf>
    <xf numFmtId="168" fontId="4" fillId="2" borderId="1" xfId="15" applyNumberFormat="1" applyFont="1" applyFill="1" applyBorder="1" applyAlignment="1">
      <alignment horizontal="center" vertical="top"/>
    </xf>
    <xf numFmtId="168" fontId="5" fillId="0" borderId="0" xfId="15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right"/>
    </xf>
    <xf numFmtId="0" fontId="5" fillId="2" borderId="1" xfId="0" applyFont="1" applyFill="1" applyBorder="1" applyAlignment="1">
      <alignment horizontal="right" vertical="top" wrapText="1"/>
    </xf>
    <xf numFmtId="43" fontId="5" fillId="0" borderId="1" xfId="15" applyFont="1" applyBorder="1" applyAlignment="1">
      <alignment/>
    </xf>
    <xf numFmtId="0" fontId="5" fillId="0" borderId="5" xfId="0" applyFont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2" xfId="15" applyFont="1" applyBorder="1" applyAlignment="1">
      <alignment/>
    </xf>
    <xf numFmtId="43" fontId="5" fillId="0" borderId="0" xfId="15" applyFont="1" applyBorder="1" applyAlignment="1">
      <alignment/>
    </xf>
    <xf numFmtId="43" fontId="5" fillId="0" borderId="13" xfId="15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left" vertical="top" wrapText="1"/>
    </xf>
    <xf numFmtId="43" fontId="5" fillId="0" borderId="4" xfId="15" applyFont="1" applyFill="1" applyBorder="1" applyAlignment="1">
      <alignment horizontal="justify" vertical="top"/>
    </xf>
    <xf numFmtId="43" fontId="5" fillId="0" borderId="0" xfId="15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43" fontId="5" fillId="0" borderId="1" xfId="15" applyFont="1" applyFill="1" applyBorder="1" applyAlignment="1">
      <alignment horizontal="center" vertical="top"/>
    </xf>
    <xf numFmtId="43" fontId="5" fillId="0" borderId="5" xfId="15" applyFont="1" applyFill="1" applyBorder="1" applyAlignment="1">
      <alignment/>
    </xf>
    <xf numFmtId="43" fontId="5" fillId="0" borderId="3" xfId="15" applyFont="1" applyFill="1" applyBorder="1" applyAlignment="1">
      <alignment/>
    </xf>
    <xf numFmtId="43" fontId="5" fillId="0" borderId="6" xfId="15" applyFont="1" applyFill="1" applyBorder="1" applyAlignment="1">
      <alignment horizontal="center"/>
    </xf>
    <xf numFmtId="43" fontId="5" fillId="0" borderId="7" xfId="15" applyFont="1" applyFill="1" applyBorder="1" applyAlignment="1">
      <alignment horizontal="center"/>
    </xf>
    <xf numFmtId="43" fontId="5" fillId="0" borderId="2" xfId="15" applyFont="1" applyFill="1" applyBorder="1" applyAlignment="1">
      <alignment horizontal="center"/>
    </xf>
    <xf numFmtId="43" fontId="5" fillId="0" borderId="1" xfId="15" applyFont="1" applyFill="1" applyBorder="1" applyAlignment="1">
      <alignment horizontal="center"/>
    </xf>
    <xf numFmtId="168" fontId="0" fillId="0" borderId="0" xfId="15" applyNumberFormat="1" applyFont="1" applyAlignment="1">
      <alignment horizontal="center"/>
    </xf>
    <xf numFmtId="168" fontId="5" fillId="0" borderId="1" xfId="15" applyNumberFormat="1" applyFont="1" applyBorder="1" applyAlignment="1">
      <alignment horizontal="center" vertical="top"/>
    </xf>
    <xf numFmtId="168" fontId="5" fillId="0" borderId="1" xfId="15" applyNumberFormat="1" applyFont="1" applyFill="1" applyBorder="1" applyAlignment="1">
      <alignment horizontal="center" vertical="top"/>
    </xf>
    <xf numFmtId="168" fontId="5" fillId="2" borderId="1" xfId="15" applyNumberFormat="1" applyFont="1" applyFill="1" applyBorder="1" applyAlignment="1">
      <alignment horizontal="center" vertical="top"/>
    </xf>
    <xf numFmtId="168" fontId="4" fillId="0" borderId="3" xfId="15" applyNumberFormat="1" applyFont="1" applyBorder="1" applyAlignment="1">
      <alignment vertical="top"/>
    </xf>
    <xf numFmtId="168" fontId="5" fillId="0" borderId="4" xfId="15" applyNumberFormat="1" applyFont="1" applyBorder="1" applyAlignment="1">
      <alignment vertical="top"/>
    </xf>
    <xf numFmtId="168" fontId="5" fillId="0" borderId="2" xfId="15" applyNumberFormat="1" applyFont="1" applyBorder="1" applyAlignment="1">
      <alignment vertical="top"/>
    </xf>
    <xf numFmtId="168" fontId="4" fillId="0" borderId="4" xfId="15" applyNumberFormat="1" applyFont="1" applyBorder="1" applyAlignment="1">
      <alignment vertical="top"/>
    </xf>
    <xf numFmtId="168" fontId="5" fillId="2" borderId="3" xfId="15" applyNumberFormat="1" applyFont="1" applyFill="1" applyBorder="1" applyAlignment="1">
      <alignment horizontal="center" vertical="top"/>
    </xf>
    <xf numFmtId="168" fontId="4" fillId="0" borderId="14" xfId="15" applyNumberFormat="1" applyFont="1" applyBorder="1" applyAlignment="1">
      <alignment vertical="top"/>
    </xf>
    <xf numFmtId="168" fontId="5" fillId="0" borderId="15" xfId="15" applyNumberFormat="1" applyFont="1" applyBorder="1" applyAlignment="1">
      <alignment vertical="top"/>
    </xf>
    <xf numFmtId="168" fontId="5" fillId="0" borderId="14" xfId="15" applyNumberFormat="1" applyFont="1" applyBorder="1" applyAlignment="1">
      <alignment vertical="top"/>
    </xf>
    <xf numFmtId="168" fontId="5" fillId="0" borderId="18" xfId="15" applyNumberFormat="1" applyFont="1" applyBorder="1" applyAlignment="1">
      <alignment vertical="top"/>
    </xf>
    <xf numFmtId="168" fontId="5" fillId="0" borderId="3" xfId="15" applyNumberFormat="1" applyFont="1" applyBorder="1" applyAlignment="1">
      <alignment vertical="top"/>
    </xf>
    <xf numFmtId="168" fontId="5" fillId="0" borderId="0" xfId="15" applyNumberFormat="1" applyFont="1" applyAlignment="1">
      <alignment horizontal="left" vertical="justify"/>
    </xf>
    <xf numFmtId="168" fontId="4" fillId="0" borderId="3" xfId="15" applyNumberFormat="1" applyFont="1" applyBorder="1" applyAlignment="1">
      <alignment/>
    </xf>
    <xf numFmtId="168" fontId="5" fillId="0" borderId="4" xfId="15" applyNumberFormat="1" applyFont="1" applyBorder="1" applyAlignment="1">
      <alignment/>
    </xf>
    <xf numFmtId="168" fontId="5" fillId="0" borderId="2" xfId="15" applyNumberFormat="1" applyFont="1" applyBorder="1" applyAlignment="1">
      <alignment/>
    </xf>
    <xf numFmtId="168" fontId="4" fillId="0" borderId="4" xfId="15" applyNumberFormat="1" applyFont="1" applyBorder="1" applyAlignment="1">
      <alignment/>
    </xf>
    <xf numFmtId="168" fontId="5" fillId="2" borderId="1" xfId="15" applyNumberFormat="1" applyFont="1" applyFill="1" applyBorder="1" applyAlignment="1">
      <alignment/>
    </xf>
    <xf numFmtId="168" fontId="4" fillId="2" borderId="1" xfId="15" applyNumberFormat="1" applyFont="1" applyFill="1" applyBorder="1" applyAlignment="1">
      <alignment/>
    </xf>
    <xf numFmtId="168" fontId="5" fillId="0" borderId="0" xfId="15" applyNumberFormat="1" applyFont="1" applyAlignment="1">
      <alignment/>
    </xf>
    <xf numFmtId="43" fontId="5" fillId="0" borderId="1" xfId="15" applyFont="1" applyBorder="1" applyAlignment="1">
      <alignment wrapText="1"/>
    </xf>
    <xf numFmtId="168" fontId="5" fillId="0" borderId="1" xfId="15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168" fontId="4" fillId="2" borderId="1" xfId="15" applyNumberFormat="1" applyFont="1" applyFill="1" applyBorder="1" applyAlignment="1">
      <alignment vertical="top"/>
    </xf>
    <xf numFmtId="43" fontId="4" fillId="0" borderId="0" xfId="15" applyFont="1" applyAlignment="1">
      <alignment/>
    </xf>
    <xf numFmtId="43" fontId="4" fillId="0" borderId="0" xfId="15" applyFont="1" applyBorder="1" applyAlignment="1">
      <alignment/>
    </xf>
    <xf numFmtId="43" fontId="4" fillId="0" borderId="1" xfId="15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3" fontId="4" fillId="0" borderId="4" xfId="15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43" fontId="4" fillId="2" borderId="4" xfId="15" applyFont="1" applyFill="1" applyBorder="1" applyAlignment="1">
      <alignment horizontal="center" vertical="top"/>
    </xf>
    <xf numFmtId="43" fontId="4" fillId="0" borderId="6" xfId="15" applyFont="1" applyBorder="1" applyAlignment="1">
      <alignment vertical="top" wrapText="1"/>
    </xf>
    <xf numFmtId="43" fontId="4" fillId="2" borderId="6" xfId="15" applyFont="1" applyFill="1" applyBorder="1" applyAlignment="1">
      <alignment horizontal="center" vertical="top"/>
    </xf>
    <xf numFmtId="43" fontId="5" fillId="0" borderId="0" xfId="0" applyNumberFormat="1" applyFont="1" applyAlignment="1">
      <alignment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43" fontId="0" fillId="0" borderId="0" xfId="15" applyAlignment="1">
      <alignment/>
    </xf>
    <xf numFmtId="43" fontId="4" fillId="2" borderId="1" xfId="1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vertical="top" wrapText="1"/>
    </xf>
    <xf numFmtId="43" fontId="5" fillId="0" borderId="12" xfId="15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43" fontId="4" fillId="2" borderId="23" xfId="15" applyFont="1" applyFill="1" applyBorder="1" applyAlignment="1">
      <alignment horizontal="center" vertical="center"/>
    </xf>
    <xf numFmtId="168" fontId="4" fillId="2" borderId="3" xfId="15" applyNumberFormat="1" applyFont="1" applyFill="1" applyBorder="1" applyAlignment="1">
      <alignment horizontal="center" vertical="center"/>
    </xf>
    <xf numFmtId="168" fontId="4" fillId="2" borderId="1" xfId="15" applyNumberFormat="1" applyFont="1" applyFill="1" applyBorder="1" applyAlignment="1">
      <alignment horizontal="center" vertical="center"/>
    </xf>
    <xf numFmtId="168" fontId="5" fillId="0" borderId="0" xfId="15" applyNumberFormat="1" applyFont="1" applyFill="1" applyBorder="1" applyAlignment="1">
      <alignment horizontal="left" wrapText="1"/>
    </xf>
    <xf numFmtId="14" fontId="5" fillId="0" borderId="15" xfId="15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43" fontId="6" fillId="0" borderId="4" xfId="15" applyFont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0" xfId="15" applyFont="1" applyAlignment="1">
      <alignment vertical="center"/>
    </xf>
    <xf numFmtId="43" fontId="4" fillId="2" borderId="3" xfId="15" applyFont="1" applyFill="1" applyBorder="1" applyAlignment="1">
      <alignment vertical="center"/>
    </xf>
    <xf numFmtId="43" fontId="5" fillId="0" borderId="4" xfId="15" applyFont="1" applyBorder="1" applyAlignment="1">
      <alignment vertical="center" wrapText="1"/>
    </xf>
    <xf numFmtId="43" fontId="4" fillId="0" borderId="4" xfId="15" applyFont="1" applyBorder="1" applyAlignment="1">
      <alignment vertical="center"/>
    </xf>
    <xf numFmtId="43" fontId="4" fillId="2" borderId="1" xfId="15" applyFont="1" applyFill="1" applyBorder="1" applyAlignment="1">
      <alignment vertical="center"/>
    </xf>
    <xf numFmtId="43" fontId="4" fillId="0" borderId="3" xfId="15" applyFont="1" applyFill="1" applyBorder="1" applyAlignment="1">
      <alignment vertical="center"/>
    </xf>
    <xf numFmtId="43" fontId="5" fillId="0" borderId="4" xfId="15" applyFont="1" applyFill="1" applyBorder="1" applyAlignment="1">
      <alignment vertical="center"/>
    </xf>
    <xf numFmtId="43" fontId="5" fillId="0" borderId="2" xfId="15" applyFont="1" applyFill="1" applyBorder="1" applyAlignment="1">
      <alignment vertical="center"/>
    </xf>
    <xf numFmtId="43" fontId="4" fillId="2" borderId="5" xfId="15" applyFont="1" applyFill="1" applyBorder="1" applyAlignment="1">
      <alignment vertical="center"/>
    </xf>
    <xf numFmtId="43" fontId="4" fillId="2" borderId="23" xfId="15" applyFont="1" applyFill="1" applyBorder="1" applyAlignment="1">
      <alignment vertical="center"/>
    </xf>
    <xf numFmtId="43" fontId="0" fillId="0" borderId="0" xfId="15" applyAlignment="1">
      <alignment horizontal="center"/>
    </xf>
    <xf numFmtId="43" fontId="4" fillId="0" borderId="3" xfId="15" applyFont="1" applyBorder="1" applyAlignment="1">
      <alignment vertical="top" wrapText="1"/>
    </xf>
    <xf numFmtId="43" fontId="4" fillId="0" borderId="0" xfId="15" applyFont="1" applyBorder="1" applyAlignment="1">
      <alignment vertical="top"/>
    </xf>
    <xf numFmtId="43" fontId="4" fillId="0" borderId="0" xfId="15" applyFont="1" applyBorder="1" applyAlignment="1">
      <alignment horizontal="center" vertical="top"/>
    </xf>
    <xf numFmtId="0" fontId="5" fillId="0" borderId="7" xfId="0" applyFont="1" applyFill="1" applyBorder="1" applyAlignment="1">
      <alignment horizontal="right" vertical="top" wrapText="1"/>
    </xf>
    <xf numFmtId="43" fontId="5" fillId="0" borderId="12" xfId="15" applyFont="1" applyBorder="1" applyAlignment="1">
      <alignment vertical="top" wrapText="1"/>
    </xf>
    <xf numFmtId="43" fontId="5" fillId="0" borderId="3" xfId="15" applyFont="1" applyBorder="1" applyAlignment="1">
      <alignment vertical="top" wrapText="1"/>
    </xf>
    <xf numFmtId="43" fontId="4" fillId="0" borderId="15" xfId="15" applyFont="1" applyBorder="1" applyAlignment="1">
      <alignment horizontal="center" vertical="top"/>
    </xf>
    <xf numFmtId="43" fontId="5" fillId="0" borderId="0" xfId="15" applyFont="1" applyFill="1" applyBorder="1" applyAlignment="1">
      <alignment horizontal="justify" vertical="top"/>
    </xf>
    <xf numFmtId="43" fontId="5" fillId="0" borderId="12" xfId="15" applyFont="1" applyFill="1" applyBorder="1" applyAlignment="1">
      <alignment vertical="top"/>
    </xf>
    <xf numFmtId="43" fontId="5" fillId="0" borderId="3" xfId="15" applyFont="1" applyFill="1" applyBorder="1" applyAlignment="1">
      <alignment vertical="top"/>
    </xf>
    <xf numFmtId="43" fontId="5" fillId="0" borderId="13" xfId="15" applyFont="1" applyFill="1" applyBorder="1" applyAlignment="1">
      <alignment vertical="top" wrapText="1"/>
    </xf>
    <xf numFmtId="43" fontId="5" fillId="0" borderId="2" xfId="15" applyFont="1" applyFill="1" applyBorder="1" applyAlignment="1">
      <alignment vertical="top" wrapText="1"/>
    </xf>
    <xf numFmtId="168" fontId="0" fillId="0" borderId="0" xfId="15" applyNumberFormat="1" applyFont="1" applyBorder="1" applyAlignment="1">
      <alignment/>
    </xf>
    <xf numFmtId="168" fontId="5" fillId="2" borderId="3" xfId="15" applyNumberFormat="1" applyFont="1" applyFill="1" applyBorder="1" applyAlignment="1">
      <alignment vertical="top"/>
    </xf>
    <xf numFmtId="168" fontId="10" fillId="0" borderId="0" xfId="15" applyNumberFormat="1" applyFont="1" applyBorder="1" applyAlignment="1">
      <alignment vertical="top"/>
    </xf>
    <xf numFmtId="49" fontId="5" fillId="0" borderId="4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43" fontId="4" fillId="0" borderId="3" xfId="15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3" fontId="5" fillId="0" borderId="4" xfId="15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wrapText="1"/>
    </xf>
    <xf numFmtId="0" fontId="6" fillId="0" borderId="6" xfId="0" applyFont="1" applyFill="1" applyBorder="1" applyAlignment="1">
      <alignment horizontal="left" vertical="center" wrapText="1"/>
    </xf>
    <xf numFmtId="43" fontId="6" fillId="0" borderId="4" xfId="15" applyFont="1" applyFill="1" applyBorder="1" applyAlignment="1">
      <alignment horizontal="center" vertical="top"/>
    </xf>
    <xf numFmtId="0" fontId="6" fillId="0" borderId="6" xfId="0" applyFont="1" applyBorder="1" applyAlignment="1">
      <alignment horizontal="left" vertical="center" wrapText="1"/>
    </xf>
    <xf numFmtId="43" fontId="6" fillId="0" borderId="4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43" fontId="6" fillId="0" borderId="3" xfId="0" applyNumberFormat="1" applyFont="1" applyBorder="1" applyAlignment="1">
      <alignment/>
    </xf>
    <xf numFmtId="43" fontId="7" fillId="0" borderId="15" xfId="15" applyFont="1" applyBorder="1" applyAlignment="1">
      <alignment horizontal="center"/>
    </xf>
    <xf numFmtId="43" fontId="5" fillId="0" borderId="15" xfId="15" applyFont="1" applyFill="1" applyBorder="1" applyAlignment="1">
      <alignment horizontal="center"/>
    </xf>
    <xf numFmtId="43" fontId="6" fillId="0" borderId="15" xfId="15" applyFont="1" applyBorder="1" applyAlignment="1">
      <alignment horizontal="center"/>
    </xf>
    <xf numFmtId="43" fontId="5" fillId="0" borderId="13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0" fontId="5" fillId="0" borderId="1" xfId="15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43" fontId="13" fillId="0" borderId="0" xfId="15" applyFont="1" applyAlignment="1">
      <alignment horizontal="right"/>
    </xf>
    <xf numFmtId="2" fontId="13" fillId="0" borderId="0" xfId="0" applyNumberFormat="1" applyFont="1" applyAlignment="1">
      <alignment/>
    </xf>
    <xf numFmtId="0" fontId="5" fillId="0" borderId="6" xfId="0" applyFont="1" applyBorder="1" applyAlignment="1">
      <alignment horizontal="center" vertical="top" wrapText="1"/>
    </xf>
    <xf numFmtId="43" fontId="5" fillId="0" borderId="4" xfId="15" applyFont="1" applyBorder="1" applyAlignment="1">
      <alignment vertical="top"/>
    </xf>
    <xf numFmtId="1" fontId="13" fillId="3" borderId="0" xfId="0" applyNumberFormat="1" applyFont="1" applyFill="1" applyAlignment="1">
      <alignment horizontal="center"/>
    </xf>
    <xf numFmtId="43" fontId="13" fillId="3" borderId="0" xfId="15" applyFont="1" applyFill="1" applyAlignment="1">
      <alignment horizontal="right"/>
    </xf>
    <xf numFmtId="1" fontId="13" fillId="0" borderId="0" xfId="0" applyNumberFormat="1" applyFont="1" applyFill="1" applyAlignment="1">
      <alignment horizontal="center"/>
    </xf>
    <xf numFmtId="43" fontId="13" fillId="0" borderId="0" xfId="15" applyFont="1" applyFill="1" applyAlignment="1">
      <alignment horizontal="right"/>
    </xf>
    <xf numFmtId="43" fontId="7" fillId="0" borderId="4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3" fillId="3" borderId="0" xfId="0" applyNumberFormat="1" applyFont="1" applyFill="1" applyBorder="1" applyAlignment="1">
      <alignment/>
    </xf>
    <xf numFmtId="1" fontId="13" fillId="3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4" borderId="0" xfId="0" applyNumberFormat="1" applyFont="1" applyFill="1" applyBorder="1" applyAlignment="1">
      <alignment/>
    </xf>
    <xf numFmtId="1" fontId="13" fillId="4" borderId="0" xfId="0" applyNumberFormat="1" applyFont="1" applyFill="1" applyBorder="1" applyAlignment="1">
      <alignment horizontal="center"/>
    </xf>
    <xf numFmtId="43" fontId="13" fillId="0" borderId="0" xfId="15" applyFont="1" applyBorder="1" applyAlignment="1">
      <alignment/>
    </xf>
    <xf numFmtId="43" fontId="13" fillId="3" borderId="0" xfId="15" applyFont="1" applyFill="1" applyBorder="1" applyAlignment="1">
      <alignment/>
    </xf>
    <xf numFmtId="43" fontId="13" fillId="0" borderId="0" xfId="15" applyFont="1" applyFill="1" applyBorder="1" applyAlignment="1">
      <alignment/>
    </xf>
    <xf numFmtId="43" fontId="13" fillId="4" borderId="0" xfId="15" applyFont="1" applyFill="1" applyBorder="1" applyAlignment="1">
      <alignment/>
    </xf>
    <xf numFmtId="43" fontId="12" fillId="0" borderId="0" xfId="15" applyFont="1" applyBorder="1" applyAlignment="1">
      <alignment/>
    </xf>
    <xf numFmtId="1" fontId="13" fillId="2" borderId="0" xfId="0" applyNumberFormat="1" applyFont="1" applyFill="1" applyBorder="1" applyAlignment="1">
      <alignment/>
    </xf>
    <xf numFmtId="1" fontId="13" fillId="2" borderId="0" xfId="0" applyNumberFormat="1" applyFont="1" applyFill="1" applyBorder="1" applyAlignment="1">
      <alignment horizontal="center"/>
    </xf>
    <xf numFmtId="43" fontId="13" fillId="2" borderId="0" xfId="15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3" fontId="4" fillId="0" borderId="12" xfId="15" applyFont="1" applyBorder="1" applyAlignment="1">
      <alignment vertical="top" wrapText="1"/>
    </xf>
    <xf numFmtId="168" fontId="5" fillId="0" borderId="4" xfId="15" applyNumberFormat="1" applyFont="1" applyFill="1" applyBorder="1" applyAlignment="1">
      <alignment horizontal="center" vertical="center"/>
    </xf>
    <xf numFmtId="168" fontId="5" fillId="0" borderId="2" xfId="15" applyNumberFormat="1" applyFont="1" applyFill="1" applyBorder="1" applyAlignment="1">
      <alignment horizontal="center" vertical="center"/>
    </xf>
    <xf numFmtId="168" fontId="5" fillId="0" borderId="14" xfId="15" applyNumberFormat="1" applyFont="1" applyFill="1" applyBorder="1" applyAlignment="1">
      <alignment horizontal="center" vertical="center"/>
    </xf>
    <xf numFmtId="168" fontId="5" fillId="0" borderId="15" xfId="15" applyNumberFormat="1" applyFont="1" applyFill="1" applyBorder="1" applyAlignment="1">
      <alignment horizontal="center" vertical="center"/>
    </xf>
    <xf numFmtId="168" fontId="5" fillId="0" borderId="18" xfId="15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43" fontId="5" fillId="0" borderId="18" xfId="15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" xfId="0" applyFont="1" applyBorder="1" applyAlignment="1">
      <alignment/>
    </xf>
    <xf numFmtId="43" fontId="6" fillId="0" borderId="3" xfId="15" applyFont="1" applyBorder="1" applyAlignment="1">
      <alignment vertical="top"/>
    </xf>
    <xf numFmtId="168" fontId="5" fillId="2" borderId="3" xfId="15" applyNumberFormat="1" applyFont="1" applyFill="1" applyBorder="1" applyAlignment="1">
      <alignment horizontal="right" vertical="top"/>
    </xf>
    <xf numFmtId="168" fontId="4" fillId="2" borderId="3" xfId="15" applyNumberFormat="1" applyFont="1" applyFill="1" applyBorder="1" applyAlignment="1">
      <alignment horizontal="right" vertical="top"/>
    </xf>
    <xf numFmtId="168" fontId="4" fillId="0" borderId="3" xfId="15" applyNumberFormat="1" applyFont="1" applyFill="1" applyBorder="1" applyAlignment="1">
      <alignment horizontal="right" vertical="top"/>
    </xf>
    <xf numFmtId="168" fontId="5" fillId="0" borderId="4" xfId="15" applyNumberFormat="1" applyFont="1" applyFill="1" applyBorder="1" applyAlignment="1">
      <alignment horizontal="right" vertical="top"/>
    </xf>
    <xf numFmtId="168" fontId="5" fillId="0" borderId="2" xfId="15" applyNumberFormat="1" applyFont="1" applyFill="1" applyBorder="1" applyAlignment="1">
      <alignment horizontal="right" vertical="top"/>
    </xf>
    <xf numFmtId="168" fontId="4" fillId="0" borderId="4" xfId="15" applyNumberFormat="1" applyFont="1" applyFill="1" applyBorder="1" applyAlignment="1">
      <alignment horizontal="right" vertical="top"/>
    </xf>
    <xf numFmtId="168" fontId="7" fillId="0" borderId="4" xfId="15" applyNumberFormat="1" applyFont="1" applyFill="1" applyBorder="1" applyAlignment="1">
      <alignment horizontal="right" vertical="top"/>
    </xf>
    <xf numFmtId="168" fontId="7" fillId="0" borderId="3" xfId="15" applyNumberFormat="1" applyFont="1" applyFill="1" applyBorder="1" applyAlignment="1">
      <alignment horizontal="right" vertical="top"/>
    </xf>
    <xf numFmtId="168" fontId="5" fillId="0" borderId="3" xfId="15" applyNumberFormat="1" applyFont="1" applyFill="1" applyBorder="1" applyAlignment="1">
      <alignment horizontal="right" vertical="top"/>
    </xf>
    <xf numFmtId="168" fontId="4" fillId="2" borderId="4" xfId="15" applyNumberFormat="1" applyFont="1" applyFill="1" applyBorder="1" applyAlignment="1">
      <alignment horizontal="right" vertical="top"/>
    </xf>
    <xf numFmtId="168" fontId="5" fillId="0" borderId="14" xfId="15" applyNumberFormat="1" applyFont="1" applyFill="1" applyBorder="1" applyAlignment="1">
      <alignment horizontal="right" vertical="top"/>
    </xf>
    <xf numFmtId="168" fontId="6" fillId="0" borderId="15" xfId="15" applyNumberFormat="1" applyFont="1" applyFill="1" applyBorder="1" applyAlignment="1">
      <alignment horizontal="right" vertical="top"/>
    </xf>
    <xf numFmtId="168" fontId="5" fillId="0" borderId="15" xfId="15" applyNumberFormat="1" applyFont="1" applyFill="1" applyBorder="1" applyAlignment="1">
      <alignment horizontal="right" vertical="top"/>
    </xf>
    <xf numFmtId="168" fontId="4" fillId="2" borderId="1" xfId="15" applyNumberFormat="1" applyFont="1" applyFill="1" applyBorder="1" applyAlignment="1">
      <alignment horizontal="right" vertical="top"/>
    </xf>
    <xf numFmtId="168" fontId="5" fillId="0" borderId="0" xfId="15" applyNumberFormat="1" applyFont="1" applyAlignment="1">
      <alignment horizontal="right" vertical="top"/>
    </xf>
    <xf numFmtId="0" fontId="9" fillId="2" borderId="11" xfId="0" applyFont="1" applyFill="1" applyBorder="1" applyAlignment="1">
      <alignment horizontal="right" vertical="top" wrapText="1"/>
    </xf>
    <xf numFmtId="43" fontId="9" fillId="2" borderId="3" xfId="15" applyFont="1" applyFill="1" applyBorder="1" applyAlignment="1">
      <alignment horizontal="center" vertical="top"/>
    </xf>
    <xf numFmtId="43" fontId="9" fillId="2" borderId="5" xfId="15" applyFont="1" applyFill="1" applyBorder="1" applyAlignment="1">
      <alignment horizontal="center" vertical="top"/>
    </xf>
    <xf numFmtId="168" fontId="8" fillId="2" borderId="3" xfId="15" applyNumberFormat="1" applyFont="1" applyFill="1" applyBorder="1" applyAlignment="1">
      <alignment vertical="top"/>
    </xf>
    <xf numFmtId="0" fontId="9" fillId="0" borderId="5" xfId="0" applyFont="1" applyBorder="1" applyAlignment="1">
      <alignment horizontal="right" vertical="top" wrapText="1"/>
    </xf>
    <xf numFmtId="43" fontId="9" fillId="0" borderId="12" xfId="15" applyFont="1" applyBorder="1" applyAlignment="1">
      <alignment vertical="top"/>
    </xf>
    <xf numFmtId="43" fontId="9" fillId="0" borderId="3" xfId="15" applyFont="1" applyBorder="1" applyAlignment="1">
      <alignment vertical="top"/>
    </xf>
    <xf numFmtId="168" fontId="9" fillId="0" borderId="14" xfId="15" applyNumberFormat="1" applyFont="1" applyBorder="1" applyAlignment="1">
      <alignment vertical="top"/>
    </xf>
    <xf numFmtId="0" fontId="8" fillId="0" borderId="6" xfId="0" applyFont="1" applyBorder="1" applyAlignment="1">
      <alignment horizontal="right" vertical="top" wrapText="1"/>
    </xf>
    <xf numFmtId="43" fontId="8" fillId="0" borderId="0" xfId="15" applyFont="1" applyBorder="1" applyAlignment="1">
      <alignment vertical="top"/>
    </xf>
    <xf numFmtId="43" fontId="8" fillId="0" borderId="4" xfId="15" applyFont="1" applyBorder="1" applyAlignment="1">
      <alignment vertical="top"/>
    </xf>
    <xf numFmtId="168" fontId="8" fillId="0" borderId="15" xfId="15" applyNumberFormat="1" applyFont="1" applyBorder="1" applyAlignment="1">
      <alignment vertical="top"/>
    </xf>
    <xf numFmtId="43" fontId="8" fillId="0" borderId="0" xfId="15" applyFont="1" applyBorder="1" applyAlignment="1">
      <alignment vertical="top" wrapText="1"/>
    </xf>
    <xf numFmtId="43" fontId="8" fillId="0" borderId="4" xfId="15" applyFont="1" applyBorder="1" applyAlignment="1">
      <alignment vertical="top" wrapText="1"/>
    </xf>
    <xf numFmtId="0" fontId="8" fillId="0" borderId="6" xfId="0" applyFont="1" applyFill="1" applyBorder="1" applyAlignment="1">
      <alignment horizontal="right" vertical="top" wrapText="1"/>
    </xf>
    <xf numFmtId="43" fontId="8" fillId="0" borderId="0" xfId="15" applyFont="1" applyFill="1" applyBorder="1" applyAlignment="1">
      <alignment vertical="top" wrapText="1"/>
    </xf>
    <xf numFmtId="43" fontId="8" fillId="0" borderId="4" xfId="15" applyFont="1" applyFill="1" applyBorder="1" applyAlignment="1">
      <alignment vertical="top" wrapText="1"/>
    </xf>
    <xf numFmtId="0" fontId="8" fillId="0" borderId="7" xfId="0" applyFont="1" applyBorder="1" applyAlignment="1">
      <alignment horizontal="right" vertical="top" wrapText="1"/>
    </xf>
    <xf numFmtId="43" fontId="8" fillId="0" borderId="13" xfId="15" applyFont="1" applyBorder="1" applyAlignment="1">
      <alignment vertical="top"/>
    </xf>
    <xf numFmtId="43" fontId="8" fillId="0" borderId="2" xfId="15" applyFont="1" applyBorder="1" applyAlignment="1">
      <alignment vertical="top"/>
    </xf>
    <xf numFmtId="168" fontId="8" fillId="0" borderId="18" xfId="15" applyNumberFormat="1" applyFont="1" applyBorder="1" applyAlignment="1">
      <alignment vertical="top"/>
    </xf>
    <xf numFmtId="43" fontId="9" fillId="0" borderId="14" xfId="15" applyFont="1" applyBorder="1" applyAlignment="1">
      <alignment horizontal="center" vertical="top"/>
    </xf>
    <xf numFmtId="43" fontId="9" fillId="0" borderId="12" xfId="15" applyFont="1" applyBorder="1" applyAlignment="1">
      <alignment horizontal="center" vertical="top"/>
    </xf>
    <xf numFmtId="168" fontId="9" fillId="0" borderId="3" xfId="15" applyNumberFormat="1" applyFont="1" applyBorder="1" applyAlignment="1">
      <alignment vertical="top"/>
    </xf>
    <xf numFmtId="43" fontId="8" fillId="0" borderId="15" xfId="15" applyFont="1" applyBorder="1" applyAlignment="1">
      <alignment horizontal="center" vertical="top"/>
    </xf>
    <xf numFmtId="43" fontId="8" fillId="0" borderId="0" xfId="15" applyFont="1" applyBorder="1" applyAlignment="1">
      <alignment horizontal="center" vertical="top"/>
    </xf>
    <xf numFmtId="168" fontId="8" fillId="0" borderId="4" xfId="15" applyNumberFormat="1" applyFont="1" applyBorder="1" applyAlignment="1">
      <alignment vertical="top"/>
    </xf>
    <xf numFmtId="43" fontId="8" fillId="0" borderId="15" xfId="15" applyFont="1" applyBorder="1" applyAlignment="1">
      <alignment vertical="top" wrapText="1"/>
    </xf>
    <xf numFmtId="43" fontId="8" fillId="0" borderId="15" xfId="15" applyFont="1" applyFill="1" applyBorder="1" applyAlignment="1">
      <alignment vertical="top" wrapText="1"/>
    </xf>
    <xf numFmtId="43" fontId="8" fillId="0" borderId="18" xfId="15" applyFont="1" applyBorder="1" applyAlignment="1">
      <alignment vertical="top" wrapText="1"/>
    </xf>
    <xf numFmtId="168" fontId="8" fillId="0" borderId="2" xfId="15" applyNumberFormat="1" applyFont="1" applyBorder="1" applyAlignment="1">
      <alignment vertical="top"/>
    </xf>
    <xf numFmtId="0" fontId="9" fillId="0" borderId="0" xfId="0" applyFont="1" applyBorder="1" applyAlignment="1">
      <alignment horizontal="right" vertical="top" wrapText="1"/>
    </xf>
    <xf numFmtId="43" fontId="9" fillId="0" borderId="0" xfId="15" applyFont="1" applyBorder="1" applyAlignment="1">
      <alignment vertical="top" wrapText="1"/>
    </xf>
    <xf numFmtId="168" fontId="9" fillId="0" borderId="0" xfId="15" applyNumberFormat="1" applyFont="1" applyBorder="1" applyAlignment="1">
      <alignment vertical="top"/>
    </xf>
    <xf numFmtId="0" fontId="8" fillId="0" borderId="5" xfId="0" applyFont="1" applyBorder="1" applyAlignment="1">
      <alignment/>
    </xf>
    <xf numFmtId="43" fontId="8" fillId="0" borderId="12" xfId="0" applyNumberFormat="1" applyFont="1" applyBorder="1" applyAlignment="1">
      <alignment/>
    </xf>
    <xf numFmtId="0" fontId="8" fillId="0" borderId="6" xfId="0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43" fontId="8" fillId="0" borderId="13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9" fillId="2" borderId="16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5" xfId="0" applyNumberFormat="1" applyFont="1" applyBorder="1" applyAlignment="1">
      <alignment/>
    </xf>
    <xf numFmtId="43" fontId="8" fillId="0" borderId="6" xfId="0" applyNumberFormat="1" applyFont="1" applyBorder="1" applyAlignment="1">
      <alignment/>
    </xf>
    <xf numFmtId="43" fontId="8" fillId="0" borderId="7" xfId="0" applyNumberFormat="1" applyFont="1" applyBorder="1" applyAlignment="1">
      <alignment/>
    </xf>
    <xf numFmtId="43" fontId="8" fillId="0" borderId="3" xfId="0" applyNumberFormat="1" applyFont="1" applyBorder="1" applyAlignment="1">
      <alignment horizontal="center"/>
    </xf>
    <xf numFmtId="43" fontId="8" fillId="0" borderId="4" xfId="0" applyNumberFormat="1" applyFont="1" applyBorder="1" applyAlignment="1">
      <alignment horizontal="center"/>
    </xf>
    <xf numFmtId="43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3" fontId="9" fillId="0" borderId="0" xfId="0" applyNumberFormat="1" applyFont="1" applyAlignment="1">
      <alignment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43" fontId="4" fillId="0" borderId="12" xfId="15" applyNumberFormat="1" applyFont="1" applyFill="1" applyBorder="1" applyAlignment="1">
      <alignment horizontal="right" vertical="top"/>
    </xf>
    <xf numFmtId="43" fontId="5" fillId="0" borderId="0" xfId="15" applyNumberFormat="1" applyFont="1" applyFill="1" applyBorder="1" applyAlignment="1">
      <alignment horizontal="right" vertical="top"/>
    </xf>
    <xf numFmtId="43" fontId="5" fillId="0" borderId="0" xfId="15" applyNumberFormat="1" applyFont="1" applyFill="1" applyBorder="1" applyAlignment="1">
      <alignment vertical="top" wrapText="1"/>
    </xf>
    <xf numFmtId="43" fontId="5" fillId="0" borderId="13" xfId="15" applyNumberFormat="1" applyFont="1" applyFill="1" applyBorder="1" applyAlignment="1">
      <alignment horizontal="right" vertical="top"/>
    </xf>
    <xf numFmtId="43" fontId="4" fillId="0" borderId="3" xfId="15" applyNumberFormat="1" applyFont="1" applyFill="1" applyBorder="1" applyAlignment="1">
      <alignment horizontal="right" vertical="top"/>
    </xf>
    <xf numFmtId="43" fontId="5" fillId="0" borderId="4" xfId="15" applyNumberFormat="1" applyFont="1" applyFill="1" applyBorder="1" applyAlignment="1">
      <alignment horizontal="right" vertical="top"/>
    </xf>
    <xf numFmtId="43" fontId="5" fillId="0" borderId="4" xfId="15" applyNumberFormat="1" applyFont="1" applyFill="1" applyBorder="1" applyAlignment="1">
      <alignment vertical="top" wrapText="1"/>
    </xf>
    <xf numFmtId="43" fontId="5" fillId="0" borderId="2" xfId="15" applyFont="1" applyFill="1" applyBorder="1" applyAlignment="1">
      <alignment/>
    </xf>
    <xf numFmtId="43" fontId="5" fillId="0" borderId="2" xfId="15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43" fontId="4" fillId="0" borderId="1" xfId="15" applyNumberFormat="1" applyFont="1" applyFill="1" applyBorder="1" applyAlignment="1">
      <alignment horizontal="right" vertical="top"/>
    </xf>
    <xf numFmtId="167" fontId="17" fillId="0" borderId="0" xfId="15" applyNumberFormat="1" applyFont="1" applyAlignment="1">
      <alignment/>
    </xf>
    <xf numFmtId="0" fontId="5" fillId="0" borderId="2" xfId="0" applyFont="1" applyFill="1" applyBorder="1" applyAlignment="1">
      <alignment horizontal="left" vertical="top" wrapText="1"/>
    </xf>
    <xf numFmtId="43" fontId="5" fillId="0" borderId="6" xfId="15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3" fontId="5" fillId="0" borderId="7" xfId="15" applyFont="1" applyFill="1" applyBorder="1" applyAlignment="1">
      <alignment/>
    </xf>
    <xf numFmtId="0" fontId="12" fillId="0" borderId="0" xfId="0" applyFont="1" applyAlignment="1">
      <alignment horizontal="left" vertical="center"/>
    </xf>
    <xf numFmtId="168" fontId="5" fillId="0" borderId="0" xfId="15" applyNumberFormat="1" applyFont="1" applyAlignment="1">
      <alignment horizontal="right" vertical="justify"/>
    </xf>
    <xf numFmtId="0" fontId="1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8" fontId="4" fillId="2" borderId="3" xfId="15" applyNumberFormat="1" applyFont="1" applyFill="1" applyBorder="1" applyAlignment="1">
      <alignment horizontal="center" vertical="center" wrapText="1"/>
    </xf>
    <xf numFmtId="168" fontId="4" fillId="2" borderId="2" xfId="1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8" fontId="4" fillId="2" borderId="5" xfId="15" applyNumberFormat="1" applyFont="1" applyFill="1" applyBorder="1" applyAlignment="1">
      <alignment horizontal="center" vertical="center" wrapText="1"/>
    </xf>
    <xf numFmtId="168" fontId="4" fillId="2" borderId="6" xfId="1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36" sqref="C36"/>
    </sheetView>
  </sheetViews>
  <sheetFormatPr defaultColWidth="9.00390625" defaultRowHeight="12.75" customHeight="1"/>
  <cols>
    <col min="1" max="2" width="5.00390625" style="39" customWidth="1"/>
    <col min="3" max="3" width="50.125" style="2" customWidth="1"/>
    <col min="4" max="5" width="13.75390625" style="91" customWidth="1"/>
    <col min="6" max="6" width="8.125" style="229" customWidth="1"/>
    <col min="7" max="7" width="5.75390625" style="1" customWidth="1"/>
    <col min="8" max="8" width="15.375" style="3" customWidth="1"/>
    <col min="9" max="16384" width="9.125" style="1" customWidth="1"/>
  </cols>
  <sheetData>
    <row r="1" spans="1:6" ht="12.75" customHeight="1">
      <c r="A1" s="540" t="s">
        <v>113</v>
      </c>
      <c r="B1" s="540"/>
      <c r="C1" s="540"/>
      <c r="D1" s="540"/>
      <c r="E1" s="540"/>
      <c r="F1" s="540"/>
    </row>
    <row r="2" spans="1:6" ht="12.75" customHeight="1">
      <c r="A2" s="1"/>
      <c r="B2" s="541" t="s">
        <v>543</v>
      </c>
      <c r="C2" s="541"/>
      <c r="D2" s="541"/>
      <c r="E2" s="541"/>
      <c r="F2" s="541"/>
    </row>
    <row r="3" spans="1:6" ht="12.75" customHeight="1">
      <c r="A3" s="299"/>
      <c r="B3" s="541"/>
      <c r="C3" s="541"/>
      <c r="D3" s="541"/>
      <c r="E3" s="1"/>
      <c r="F3" s="228"/>
    </row>
    <row r="4" ht="6.75" customHeight="1">
      <c r="A4" s="300"/>
    </row>
    <row r="5" spans="1:6" ht="12.75" customHeight="1">
      <c r="A5" s="301"/>
      <c r="B5" s="136" t="s">
        <v>1</v>
      </c>
      <c r="C5" s="137" t="s">
        <v>2</v>
      </c>
      <c r="D5" s="120" t="s">
        <v>238</v>
      </c>
      <c r="E5" s="120" t="s">
        <v>239</v>
      </c>
      <c r="F5" s="230" t="s">
        <v>234</v>
      </c>
    </row>
    <row r="6" spans="1:6" ht="12.75" customHeight="1">
      <c r="A6" s="302"/>
      <c r="B6" s="138" t="s">
        <v>66</v>
      </c>
      <c r="C6" s="4" t="s">
        <v>240</v>
      </c>
      <c r="D6" s="92">
        <v>93631</v>
      </c>
      <c r="E6" s="92">
        <v>91703.02</v>
      </c>
      <c r="F6" s="271">
        <f aca="true" t="shared" si="0" ref="F6:F23">E6/D6%</f>
        <v>97.94087428309001</v>
      </c>
    </row>
    <row r="7" spans="1:6" ht="12.75" customHeight="1">
      <c r="A7" s="302"/>
      <c r="B7" s="138" t="s">
        <v>68</v>
      </c>
      <c r="C7" s="4" t="s">
        <v>3</v>
      </c>
      <c r="D7" s="92">
        <v>10100</v>
      </c>
      <c r="E7" s="92">
        <v>10009.83</v>
      </c>
      <c r="F7" s="271">
        <f t="shared" si="0"/>
        <v>99.10722772277228</v>
      </c>
    </row>
    <row r="8" spans="1:6" ht="12.75" customHeight="1">
      <c r="A8" s="302"/>
      <c r="B8" s="138" t="s">
        <v>331</v>
      </c>
      <c r="C8" s="10" t="s">
        <v>83</v>
      </c>
      <c r="D8" s="92">
        <v>142713.15</v>
      </c>
      <c r="E8" s="92">
        <v>142713.15</v>
      </c>
      <c r="F8" s="272">
        <f t="shared" si="0"/>
        <v>100</v>
      </c>
    </row>
    <row r="9" spans="1:6" ht="12.75" customHeight="1">
      <c r="A9" s="184"/>
      <c r="B9" s="261">
        <v>600</v>
      </c>
      <c r="C9" s="262" t="s">
        <v>4</v>
      </c>
      <c r="D9" s="263">
        <v>2045364.49</v>
      </c>
      <c r="E9" s="263">
        <v>2084973.64</v>
      </c>
      <c r="F9" s="272">
        <f t="shared" si="0"/>
        <v>101.93653259326899</v>
      </c>
    </row>
    <row r="10" spans="1:6" ht="12.75" customHeight="1">
      <c r="A10" s="184"/>
      <c r="B10" s="261">
        <v>630</v>
      </c>
      <c r="C10" s="250" t="s">
        <v>5</v>
      </c>
      <c r="D10" s="263">
        <v>352519.91</v>
      </c>
      <c r="E10" s="263">
        <v>550522.07</v>
      </c>
      <c r="F10" s="272">
        <f t="shared" si="0"/>
        <v>156.16765305539764</v>
      </c>
    </row>
    <row r="11" spans="1:6" ht="12.75" customHeight="1">
      <c r="A11" s="184"/>
      <c r="B11" s="261">
        <v>700</v>
      </c>
      <c r="C11" s="250" t="s">
        <v>6</v>
      </c>
      <c r="D11" s="263">
        <v>1100930</v>
      </c>
      <c r="E11" s="263">
        <v>1135847.55</v>
      </c>
      <c r="F11" s="272">
        <f t="shared" si="0"/>
        <v>103.17164124876243</v>
      </c>
    </row>
    <row r="12" spans="1:6" ht="12.75" customHeight="1">
      <c r="A12" s="184"/>
      <c r="B12" s="261">
        <v>750</v>
      </c>
      <c r="C12" s="250" t="s">
        <v>7</v>
      </c>
      <c r="D12" s="263">
        <v>260279</v>
      </c>
      <c r="E12" s="263">
        <v>260314.18</v>
      </c>
      <c r="F12" s="272">
        <f t="shared" si="0"/>
        <v>100.01351626523845</v>
      </c>
    </row>
    <row r="13" spans="1:6" ht="12.75" customHeight="1">
      <c r="A13" s="184"/>
      <c r="B13" s="261">
        <v>751</v>
      </c>
      <c r="C13" s="250" t="s">
        <v>210</v>
      </c>
      <c r="D13" s="263">
        <v>48142</v>
      </c>
      <c r="E13" s="263">
        <v>46305.28</v>
      </c>
      <c r="F13" s="272">
        <f t="shared" si="0"/>
        <v>96.18478667275974</v>
      </c>
    </row>
    <row r="14" spans="1:6" ht="12.75" customHeight="1">
      <c r="A14" s="184"/>
      <c r="B14" s="261">
        <v>754</v>
      </c>
      <c r="C14" s="250" t="s">
        <v>37</v>
      </c>
      <c r="D14" s="263">
        <v>19303</v>
      </c>
      <c r="E14" s="263">
        <v>19302</v>
      </c>
      <c r="F14" s="272">
        <f t="shared" si="0"/>
        <v>99.99481945811532</v>
      </c>
    </row>
    <row r="15" spans="1:6" ht="12.75" customHeight="1">
      <c r="A15" s="184"/>
      <c r="B15" s="35">
        <v>756</v>
      </c>
      <c r="C15" s="4" t="s">
        <v>112</v>
      </c>
      <c r="D15" s="92">
        <v>12639154.77</v>
      </c>
      <c r="E15" s="92">
        <v>12878628.54</v>
      </c>
      <c r="F15" s="271">
        <f t="shared" si="0"/>
        <v>101.89469766260326</v>
      </c>
    </row>
    <row r="16" spans="1:6" ht="12.75" customHeight="1">
      <c r="A16" s="184"/>
      <c r="B16" s="35">
        <v>758</v>
      </c>
      <c r="C16" s="4" t="s">
        <v>8</v>
      </c>
      <c r="D16" s="92">
        <v>18309377</v>
      </c>
      <c r="E16" s="92">
        <f>18310930.39-28.15</f>
        <v>18310902.240000002</v>
      </c>
      <c r="F16" s="271">
        <f t="shared" si="0"/>
        <v>100.00833037628753</v>
      </c>
    </row>
    <row r="17" spans="1:6" ht="12.75" customHeight="1">
      <c r="A17" s="184"/>
      <c r="B17" s="35">
        <v>801</v>
      </c>
      <c r="C17" s="4" t="s">
        <v>9</v>
      </c>
      <c r="D17" s="92">
        <v>2499802.78</v>
      </c>
      <c r="E17" s="92">
        <v>2830516.59</v>
      </c>
      <c r="F17" s="271">
        <f t="shared" si="0"/>
        <v>113.22959605637371</v>
      </c>
    </row>
    <row r="18" spans="1:6" ht="12.75" customHeight="1">
      <c r="A18" s="184"/>
      <c r="B18" s="35">
        <v>852</v>
      </c>
      <c r="C18" s="4" t="s">
        <v>98</v>
      </c>
      <c r="D18" s="92">
        <v>7487616.29</v>
      </c>
      <c r="E18" s="92">
        <v>7474891.17</v>
      </c>
      <c r="F18" s="271">
        <f t="shared" si="0"/>
        <v>99.83005112031456</v>
      </c>
    </row>
    <row r="19" spans="1:6" ht="12.75" customHeight="1">
      <c r="A19" s="184"/>
      <c r="B19" s="35">
        <v>854</v>
      </c>
      <c r="C19" s="4" t="s">
        <v>53</v>
      </c>
      <c r="D19" s="92">
        <v>289996</v>
      </c>
      <c r="E19" s="92">
        <v>269790.48</v>
      </c>
      <c r="F19" s="271">
        <f t="shared" si="0"/>
        <v>93.0324832066649</v>
      </c>
    </row>
    <row r="20" spans="1:6" ht="12.75" customHeight="1">
      <c r="A20" s="184"/>
      <c r="B20" s="35">
        <v>900</v>
      </c>
      <c r="C20" s="4" t="s">
        <v>10</v>
      </c>
      <c r="D20" s="92">
        <v>44333</v>
      </c>
      <c r="E20" s="92">
        <v>44332.24</v>
      </c>
      <c r="F20" s="271">
        <f t="shared" si="0"/>
        <v>99.99828570139626</v>
      </c>
    </row>
    <row r="21" spans="1:6" ht="12.75" customHeight="1">
      <c r="A21" s="184"/>
      <c r="B21" s="35">
        <v>921</v>
      </c>
      <c r="C21" s="4" t="s">
        <v>11</v>
      </c>
      <c r="D21" s="92">
        <v>62104</v>
      </c>
      <c r="E21" s="92">
        <v>60460.16</v>
      </c>
      <c r="F21" s="271">
        <f t="shared" si="0"/>
        <v>97.35308514749454</v>
      </c>
    </row>
    <row r="22" spans="1:6" ht="12.75" customHeight="1">
      <c r="A22" s="184"/>
      <c r="B22" s="35">
        <v>926</v>
      </c>
      <c r="C22" s="4" t="s">
        <v>62</v>
      </c>
      <c r="D22" s="92">
        <v>18391</v>
      </c>
      <c r="E22" s="92">
        <v>18391</v>
      </c>
      <c r="F22" s="271">
        <f t="shared" si="0"/>
        <v>100</v>
      </c>
    </row>
    <row r="23" spans="1:6" ht="12.75" customHeight="1">
      <c r="A23" s="184"/>
      <c r="B23" s="139"/>
      <c r="C23" s="137" t="s">
        <v>12</v>
      </c>
      <c r="D23" s="128">
        <f>SUM(D6:D22)</f>
        <v>45423757.39</v>
      </c>
      <c r="E23" s="128">
        <f>SUM(E6:E22)</f>
        <v>46229603.14</v>
      </c>
      <c r="F23" s="230">
        <f t="shared" si="0"/>
        <v>101.77406228877359</v>
      </c>
    </row>
    <row r="24" spans="1:8" s="187" customFormat="1" ht="12.75" customHeight="1">
      <c r="A24" s="184"/>
      <c r="B24" s="184"/>
      <c r="C24" s="185"/>
      <c r="D24" s="186"/>
      <c r="E24" s="186"/>
      <c r="F24" s="231"/>
      <c r="H24" s="232"/>
    </row>
    <row r="25" spans="1:8" s="187" customFormat="1" ht="12.75" customHeight="1" hidden="1">
      <c r="A25" s="184"/>
      <c r="B25" s="184"/>
      <c r="C25" s="185"/>
      <c r="D25" s="186">
        <f>Dochody!D108</f>
        <v>45423757.39</v>
      </c>
      <c r="E25" s="186">
        <f>Dochody!E108</f>
        <v>46229603.14</v>
      </c>
      <c r="F25" s="231"/>
      <c r="H25" s="232"/>
    </row>
    <row r="26" spans="1:8" s="187" customFormat="1" ht="12.75" customHeight="1" hidden="1">
      <c r="A26" s="184"/>
      <c r="B26" s="184"/>
      <c r="C26" s="185"/>
      <c r="D26" s="186">
        <f>D23-D25</f>
        <v>0</v>
      </c>
      <c r="E26" s="186">
        <f>E23-E25</f>
        <v>0</v>
      </c>
      <c r="F26" s="231"/>
      <c r="H26" s="232"/>
    </row>
  </sheetData>
  <mergeCells count="3">
    <mergeCell ref="A1:F1"/>
    <mergeCell ref="B3:D3"/>
    <mergeCell ref="B2:F2"/>
  </mergeCells>
  <printOptions/>
  <pageMargins left="0.7" right="0.36" top="0.63" bottom="0.27" header="0.5" footer="0.18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34">
      <selection activeCell="H61" sqref="H61"/>
    </sheetView>
  </sheetViews>
  <sheetFormatPr defaultColWidth="9.00390625" defaultRowHeight="12.75" customHeight="1"/>
  <cols>
    <col min="1" max="1" width="4.625" style="119" customWidth="1"/>
    <col min="2" max="2" width="6.25390625" style="119" customWidth="1"/>
    <col min="3" max="3" width="46.75390625" style="44" customWidth="1"/>
    <col min="4" max="5" width="14.125" style="354" customWidth="1"/>
    <col min="6" max="6" width="6.375" style="291" customWidth="1"/>
    <col min="7" max="16384" width="9.125" style="15" customWidth="1"/>
  </cols>
  <sheetData>
    <row r="1" spans="5:6" ht="12.75" customHeight="1">
      <c r="E1" s="354" t="s">
        <v>118</v>
      </c>
      <c r="F1" s="284"/>
    </row>
    <row r="2" spans="1:6" s="53" customFormat="1" ht="12.75" customHeight="1">
      <c r="A2" s="560" t="s">
        <v>568</v>
      </c>
      <c r="B2" s="560"/>
      <c r="C2" s="560"/>
      <c r="D2" s="560"/>
      <c r="E2" s="560"/>
      <c r="F2" s="560"/>
    </row>
    <row r="3" spans="1:6" ht="12.75" customHeight="1">
      <c r="A3" s="126" t="s">
        <v>89</v>
      </c>
      <c r="B3" s="134" t="s">
        <v>90</v>
      </c>
      <c r="C3" s="135" t="s">
        <v>408</v>
      </c>
      <c r="D3" s="355" t="s">
        <v>238</v>
      </c>
      <c r="E3" s="362" t="s">
        <v>239</v>
      </c>
      <c r="F3" s="278" t="s">
        <v>234</v>
      </c>
    </row>
    <row r="4" spans="1:6" ht="12.75" customHeight="1">
      <c r="A4" s="561" t="s">
        <v>66</v>
      </c>
      <c r="B4" s="197"/>
      <c r="C4" s="55" t="s">
        <v>240</v>
      </c>
      <c r="D4" s="198">
        <f>D5</f>
        <v>93631</v>
      </c>
      <c r="E4" s="199">
        <f>E5</f>
        <v>91703.02</v>
      </c>
      <c r="F4" s="285">
        <f aca="true" t="shared" si="0" ref="F4:F9">E4/D4%</f>
        <v>97.94087428309001</v>
      </c>
    </row>
    <row r="5" spans="1:6" ht="12.75" customHeight="1">
      <c r="A5" s="562"/>
      <c r="B5" s="63" t="s">
        <v>274</v>
      </c>
      <c r="C5" s="50" t="s">
        <v>299</v>
      </c>
      <c r="D5" s="200">
        <f>D6</f>
        <v>93631</v>
      </c>
      <c r="E5" s="201">
        <f>E6</f>
        <v>91703.02</v>
      </c>
      <c r="F5" s="286">
        <f t="shared" si="0"/>
        <v>97.94087428309001</v>
      </c>
    </row>
    <row r="6" spans="1:6" ht="12.75" customHeight="1">
      <c r="A6" s="562"/>
      <c r="B6" s="63"/>
      <c r="C6" s="8" t="s">
        <v>23</v>
      </c>
      <c r="D6" s="200">
        <f>D7+D8</f>
        <v>93631</v>
      </c>
      <c r="E6" s="200">
        <f>E7+E8</f>
        <v>91703.02</v>
      </c>
      <c r="F6" s="286">
        <f t="shared" si="0"/>
        <v>97.94087428309001</v>
      </c>
    </row>
    <row r="7" spans="1:6" ht="12.75" customHeight="1">
      <c r="A7" s="562"/>
      <c r="B7" s="63"/>
      <c r="C7" s="26" t="s">
        <v>75</v>
      </c>
      <c r="D7" s="200">
        <f>Wydatki!C9</f>
        <v>346.47</v>
      </c>
      <c r="E7" s="200">
        <f>Wydatki!D9</f>
        <v>308.99</v>
      </c>
      <c r="F7" s="286">
        <f t="shared" si="0"/>
        <v>89.18232458798741</v>
      </c>
    </row>
    <row r="8" spans="1:6" ht="12.75" customHeight="1">
      <c r="A8" s="563"/>
      <c r="B8" s="64"/>
      <c r="C8" s="31" t="s">
        <v>76</v>
      </c>
      <c r="D8" s="200">
        <f>Wydatki!C10</f>
        <v>93284.53</v>
      </c>
      <c r="E8" s="200">
        <f>Wydatki!D10</f>
        <v>91394.03</v>
      </c>
      <c r="F8" s="286">
        <f t="shared" si="0"/>
        <v>97.97340459345189</v>
      </c>
    </row>
    <row r="9" spans="1:6" s="16" customFormat="1" ht="12.75" customHeight="1">
      <c r="A9" s="564">
        <v>750</v>
      </c>
      <c r="B9" s="74"/>
      <c r="C9" s="45" t="s">
        <v>7</v>
      </c>
      <c r="D9" s="199">
        <f>D10</f>
        <v>136768</v>
      </c>
      <c r="E9" s="198">
        <f>E10</f>
        <v>136768</v>
      </c>
      <c r="F9" s="285">
        <f t="shared" si="0"/>
        <v>100</v>
      </c>
    </row>
    <row r="10" spans="1:6" ht="12.75" customHeight="1">
      <c r="A10" s="545"/>
      <c r="B10" s="71">
        <v>75011</v>
      </c>
      <c r="C10" s="46" t="s">
        <v>91</v>
      </c>
      <c r="D10" s="201">
        <f>D11</f>
        <v>136768</v>
      </c>
      <c r="E10" s="200">
        <f>E11</f>
        <v>136768</v>
      </c>
      <c r="F10" s="286">
        <f aca="true" t="shared" si="1" ref="F10:F41">E10/D10%</f>
        <v>100</v>
      </c>
    </row>
    <row r="11" spans="1:6" ht="12.75" customHeight="1">
      <c r="A11" s="545"/>
      <c r="B11" s="71"/>
      <c r="C11" s="46" t="s">
        <v>73</v>
      </c>
      <c r="D11" s="201">
        <f>D12+D13</f>
        <v>136768</v>
      </c>
      <c r="E11" s="200">
        <f>E12+E13</f>
        <v>136768</v>
      </c>
      <c r="F11" s="286">
        <f t="shared" si="1"/>
        <v>100</v>
      </c>
    </row>
    <row r="12" spans="1:6" ht="12.75" customHeight="1">
      <c r="A12" s="545"/>
      <c r="B12" s="71"/>
      <c r="C12" s="46" t="s">
        <v>74</v>
      </c>
      <c r="D12" s="201">
        <v>126000</v>
      </c>
      <c r="E12" s="200">
        <v>126000</v>
      </c>
      <c r="F12" s="286">
        <f t="shared" si="1"/>
        <v>100</v>
      </c>
    </row>
    <row r="13" spans="1:6" ht="12.75" customHeight="1">
      <c r="A13" s="545"/>
      <c r="B13" s="71"/>
      <c r="C13" s="46" t="s">
        <v>72</v>
      </c>
      <c r="D13" s="201">
        <v>10768</v>
      </c>
      <c r="E13" s="200">
        <v>10768</v>
      </c>
      <c r="F13" s="286">
        <f t="shared" si="1"/>
        <v>100</v>
      </c>
    </row>
    <row r="14" spans="1:6" ht="12.75" customHeight="1">
      <c r="A14" s="544">
        <v>751</v>
      </c>
      <c r="B14" s="69"/>
      <c r="C14" s="29" t="s">
        <v>168</v>
      </c>
      <c r="D14" s="199">
        <f>D15+D19</f>
        <v>48142</v>
      </c>
      <c r="E14" s="199">
        <f>E15+E19</f>
        <v>46305.28</v>
      </c>
      <c r="F14" s="285">
        <f t="shared" si="1"/>
        <v>96.18478667275974</v>
      </c>
    </row>
    <row r="15" spans="1:6" ht="12.75" customHeight="1">
      <c r="A15" s="545"/>
      <c r="B15" s="72">
        <v>75101</v>
      </c>
      <c r="C15" s="24" t="s">
        <v>168</v>
      </c>
      <c r="D15" s="201">
        <f>D16</f>
        <v>2946</v>
      </c>
      <c r="E15" s="201">
        <f>E16</f>
        <v>2934.75</v>
      </c>
      <c r="F15" s="286">
        <f t="shared" si="1"/>
        <v>99.61812627291242</v>
      </c>
    </row>
    <row r="16" spans="1:6" ht="12.75" customHeight="1">
      <c r="A16" s="545"/>
      <c r="B16" s="72"/>
      <c r="C16" s="12" t="s">
        <v>23</v>
      </c>
      <c r="D16" s="356">
        <f>D17+D18</f>
        <v>2946</v>
      </c>
      <c r="E16" s="356">
        <f>E17+E18</f>
        <v>2934.75</v>
      </c>
      <c r="F16" s="286">
        <f t="shared" si="1"/>
        <v>99.61812627291242</v>
      </c>
    </row>
    <row r="17" spans="1:6" ht="12.75" customHeight="1">
      <c r="A17" s="72"/>
      <c r="B17" s="72"/>
      <c r="C17" s="12" t="s">
        <v>71</v>
      </c>
      <c r="D17" s="356">
        <f>Wydatki!C91</f>
        <v>1073</v>
      </c>
      <c r="E17" s="356">
        <f>Wydatki!D91</f>
        <v>1066.71</v>
      </c>
      <c r="F17" s="286">
        <f t="shared" si="1"/>
        <v>99.41379310344827</v>
      </c>
    </row>
    <row r="18" spans="1:6" ht="12.75" customHeight="1">
      <c r="A18" s="72"/>
      <c r="B18" s="72"/>
      <c r="C18" s="12" t="s">
        <v>72</v>
      </c>
      <c r="D18" s="356">
        <f>Wydatki!C92</f>
        <v>1873</v>
      </c>
      <c r="E18" s="356">
        <f>Wydatki!D92</f>
        <v>1868.04</v>
      </c>
      <c r="F18" s="286">
        <f t="shared" si="1"/>
        <v>99.73518419647624</v>
      </c>
    </row>
    <row r="19" spans="1:6" ht="12.75" customHeight="1">
      <c r="A19" s="72"/>
      <c r="B19" s="254">
        <v>75113</v>
      </c>
      <c r="C19" s="81" t="s">
        <v>512</v>
      </c>
      <c r="D19" s="201">
        <f>D20</f>
        <v>45196</v>
      </c>
      <c r="E19" s="201">
        <f>E20</f>
        <v>43370.53</v>
      </c>
      <c r="F19" s="286">
        <f t="shared" si="1"/>
        <v>95.96099212319675</v>
      </c>
    </row>
    <row r="20" spans="1:6" ht="12.75" customHeight="1">
      <c r="A20" s="72"/>
      <c r="B20" s="72"/>
      <c r="C20" s="24" t="s">
        <v>23</v>
      </c>
      <c r="D20" s="201">
        <f>D21+D22</f>
        <v>45196</v>
      </c>
      <c r="E20" s="201">
        <f>E21+E22</f>
        <v>43370.53</v>
      </c>
      <c r="F20" s="286">
        <f t="shared" si="1"/>
        <v>95.96099212319675</v>
      </c>
    </row>
    <row r="21" spans="1:6" ht="12.75" customHeight="1">
      <c r="A21" s="72"/>
      <c r="B21" s="72"/>
      <c r="C21" s="24" t="s">
        <v>71</v>
      </c>
      <c r="D21" s="201">
        <f>Wydatki!C95</f>
        <v>7240</v>
      </c>
      <c r="E21" s="201">
        <f>Wydatki!D95</f>
        <v>7227.98</v>
      </c>
      <c r="F21" s="286">
        <f t="shared" si="1"/>
        <v>99.83397790055247</v>
      </c>
    </row>
    <row r="22" spans="1:6" ht="12.75" customHeight="1">
      <c r="A22" s="61"/>
      <c r="B22" s="61"/>
      <c r="C22" s="30" t="s">
        <v>72</v>
      </c>
      <c r="D22" s="202">
        <f>Wydatki!C96</f>
        <v>37956</v>
      </c>
      <c r="E22" s="202">
        <f>Wydatki!D96</f>
        <v>36142.55</v>
      </c>
      <c r="F22" s="287">
        <f t="shared" si="1"/>
        <v>95.2222310043208</v>
      </c>
    </row>
    <row r="23" spans="1:6" ht="12.75" customHeight="1">
      <c r="A23" s="544">
        <v>852</v>
      </c>
      <c r="B23" s="74"/>
      <c r="C23" s="11" t="s">
        <v>98</v>
      </c>
      <c r="D23" s="199">
        <f>D24+D32+D34+D36+D28</f>
        <v>5760838</v>
      </c>
      <c r="E23" s="198">
        <f>E24+E32+E34+E36+E28</f>
        <v>5749159.09</v>
      </c>
      <c r="F23" s="285">
        <f t="shared" si="1"/>
        <v>99.79727064013952</v>
      </c>
    </row>
    <row r="24" spans="1:6" ht="12.75" customHeight="1">
      <c r="A24" s="545"/>
      <c r="B24" s="71">
        <v>85203</v>
      </c>
      <c r="C24" s="12" t="s">
        <v>47</v>
      </c>
      <c r="D24" s="201">
        <f>D25</f>
        <v>433860</v>
      </c>
      <c r="E24" s="201">
        <f>E25</f>
        <v>433834.47</v>
      </c>
      <c r="F24" s="286">
        <f t="shared" si="1"/>
        <v>99.99411561333147</v>
      </c>
    </row>
    <row r="25" spans="1:6" ht="12.75" customHeight="1">
      <c r="A25" s="545"/>
      <c r="B25" s="71"/>
      <c r="C25" s="12" t="s">
        <v>23</v>
      </c>
      <c r="D25" s="201">
        <f>D26+D27</f>
        <v>433860</v>
      </c>
      <c r="E25" s="201">
        <f>E26+E27</f>
        <v>433834.47</v>
      </c>
      <c r="F25" s="286">
        <f t="shared" si="1"/>
        <v>99.99411561333147</v>
      </c>
    </row>
    <row r="26" spans="1:6" ht="12.75" customHeight="1">
      <c r="A26" s="545"/>
      <c r="B26" s="71"/>
      <c r="C26" s="12" t="s">
        <v>71</v>
      </c>
      <c r="D26" s="201">
        <v>294449</v>
      </c>
      <c r="E26" s="200">
        <v>294442.98</v>
      </c>
      <c r="F26" s="286">
        <f t="shared" si="1"/>
        <v>99.99795550332995</v>
      </c>
    </row>
    <row r="27" spans="1:6" ht="12.75" customHeight="1">
      <c r="A27" s="545"/>
      <c r="B27" s="71"/>
      <c r="C27" s="12" t="s">
        <v>72</v>
      </c>
      <c r="D27" s="201">
        <v>139411</v>
      </c>
      <c r="E27" s="200">
        <v>139391.49</v>
      </c>
      <c r="F27" s="286">
        <f t="shared" si="1"/>
        <v>99.98600540846849</v>
      </c>
    </row>
    <row r="28" spans="1:6" ht="12.75" customHeight="1">
      <c r="A28" s="545"/>
      <c r="B28" s="71">
        <v>85212</v>
      </c>
      <c r="C28" s="12" t="s">
        <v>155</v>
      </c>
      <c r="D28" s="201">
        <f>D29</f>
        <v>5033720</v>
      </c>
      <c r="E28" s="200">
        <f>E29</f>
        <v>5033567.54</v>
      </c>
      <c r="F28" s="286">
        <f t="shared" si="1"/>
        <v>99.99697122605151</v>
      </c>
    </row>
    <row r="29" spans="1:6" ht="12.75" customHeight="1">
      <c r="A29" s="545"/>
      <c r="B29" s="71"/>
      <c r="C29" s="12" t="s">
        <v>23</v>
      </c>
      <c r="D29" s="201">
        <f>D30+D31</f>
        <v>5033720</v>
      </c>
      <c r="E29" s="200">
        <f>E30+E31</f>
        <v>5033567.54</v>
      </c>
      <c r="F29" s="286">
        <f t="shared" si="1"/>
        <v>99.99697122605151</v>
      </c>
    </row>
    <row r="30" spans="1:6" ht="12.75" customHeight="1">
      <c r="A30" s="545"/>
      <c r="B30" s="71"/>
      <c r="C30" s="12" t="s">
        <v>71</v>
      </c>
      <c r="D30" s="201">
        <v>129104</v>
      </c>
      <c r="E30" s="201">
        <v>129095.26</v>
      </c>
      <c r="F30" s="286">
        <f t="shared" si="1"/>
        <v>99.99323026397323</v>
      </c>
    </row>
    <row r="31" spans="1:6" ht="12.75" customHeight="1">
      <c r="A31" s="545"/>
      <c r="B31" s="71"/>
      <c r="C31" s="12" t="s">
        <v>72</v>
      </c>
      <c r="D31" s="201">
        <v>4904616</v>
      </c>
      <c r="E31" s="201">
        <v>4904472.28</v>
      </c>
      <c r="F31" s="286">
        <f t="shared" si="1"/>
        <v>99.99706969923842</v>
      </c>
    </row>
    <row r="32" spans="1:6" ht="12.75" customHeight="1">
      <c r="A32" s="545"/>
      <c r="B32" s="71">
        <v>85213</v>
      </c>
      <c r="C32" s="12" t="s">
        <v>48</v>
      </c>
      <c r="D32" s="201">
        <f>D33</f>
        <v>17425</v>
      </c>
      <c r="E32" s="200">
        <f>E33</f>
        <v>17425</v>
      </c>
      <c r="F32" s="286">
        <f t="shared" si="1"/>
        <v>100</v>
      </c>
    </row>
    <row r="33" spans="1:6" ht="12.75" customHeight="1">
      <c r="A33" s="545"/>
      <c r="B33" s="71"/>
      <c r="C33" s="12" t="s">
        <v>23</v>
      </c>
      <c r="D33" s="356">
        <f>'Fk-wyd'!D484</f>
        <v>17425</v>
      </c>
      <c r="E33" s="356">
        <f>'Fk-wyd'!E484</f>
        <v>17425</v>
      </c>
      <c r="F33" s="286">
        <f t="shared" si="1"/>
        <v>100</v>
      </c>
    </row>
    <row r="34" spans="1:6" ht="12.75" customHeight="1">
      <c r="A34" s="545"/>
      <c r="B34" s="71">
        <v>85214</v>
      </c>
      <c r="C34" s="12" t="s">
        <v>92</v>
      </c>
      <c r="D34" s="201">
        <f>D35</f>
        <v>150597</v>
      </c>
      <c r="E34" s="200">
        <f>E35</f>
        <v>150596.8</v>
      </c>
      <c r="F34" s="286">
        <f t="shared" si="1"/>
        <v>99.99986719522964</v>
      </c>
    </row>
    <row r="35" spans="1:6" ht="12.75" customHeight="1">
      <c r="A35" s="545"/>
      <c r="B35" s="71"/>
      <c r="C35" s="12" t="s">
        <v>73</v>
      </c>
      <c r="D35" s="356">
        <f>'Fk-wyd'!D488</f>
        <v>150597</v>
      </c>
      <c r="E35" s="356">
        <f>'Fk-wyd'!E488</f>
        <v>150596.8</v>
      </c>
      <c r="F35" s="286">
        <f t="shared" si="1"/>
        <v>99.99986719522964</v>
      </c>
    </row>
    <row r="36" spans="1:6" ht="12.75" customHeight="1">
      <c r="A36" s="545"/>
      <c r="B36" s="71">
        <v>85228</v>
      </c>
      <c r="C36" s="12" t="s">
        <v>52</v>
      </c>
      <c r="D36" s="201">
        <f>D37</f>
        <v>125236</v>
      </c>
      <c r="E36" s="200">
        <f>E37</f>
        <v>113735.28</v>
      </c>
      <c r="F36" s="286">
        <f t="shared" si="1"/>
        <v>90.81676195343192</v>
      </c>
    </row>
    <row r="37" spans="1:6" s="16" customFormat="1" ht="12.75" customHeight="1">
      <c r="A37" s="558"/>
      <c r="B37" s="5"/>
      <c r="C37" s="40" t="s">
        <v>73</v>
      </c>
      <c r="D37" s="441">
        <f>'Fk-wyd'!D543</f>
        <v>125236</v>
      </c>
      <c r="E37" s="441">
        <f>'Fk-wyd'!E543</f>
        <v>113735.28</v>
      </c>
      <c r="F37" s="287">
        <f t="shared" si="1"/>
        <v>90.81676195343192</v>
      </c>
    </row>
    <row r="38" spans="1:6" s="16" customFormat="1" ht="12.75" customHeight="1">
      <c r="A38" s="70">
        <v>921</v>
      </c>
      <c r="B38" s="71"/>
      <c r="C38" s="45" t="s">
        <v>11</v>
      </c>
      <c r="D38" s="357">
        <f>D39</f>
        <v>46504</v>
      </c>
      <c r="E38" s="357">
        <f>E39</f>
        <v>44860.16</v>
      </c>
      <c r="F38" s="288">
        <f t="shared" si="1"/>
        <v>96.46516428694306</v>
      </c>
    </row>
    <row r="39" spans="1:6" s="16" customFormat="1" ht="12.75" customHeight="1">
      <c r="A39" s="70"/>
      <c r="B39" s="71">
        <v>92116</v>
      </c>
      <c r="C39" s="46" t="s">
        <v>61</v>
      </c>
      <c r="D39" s="201">
        <f>D40</f>
        <v>46504</v>
      </c>
      <c r="E39" s="201">
        <f>E40</f>
        <v>44860.16</v>
      </c>
      <c r="F39" s="286">
        <f t="shared" si="1"/>
        <v>96.46516428694306</v>
      </c>
    </row>
    <row r="40" spans="1:6" s="16" customFormat="1" ht="12.75" customHeight="1">
      <c r="A40" s="70"/>
      <c r="B40" s="5"/>
      <c r="C40" s="439" t="s">
        <v>298</v>
      </c>
      <c r="D40" s="201">
        <f>'Zad rządowe'!D67</f>
        <v>46504</v>
      </c>
      <c r="E40" s="201">
        <f>'Zad rządowe'!E67</f>
        <v>44860.16</v>
      </c>
      <c r="F40" s="287">
        <f t="shared" si="1"/>
        <v>96.46516428694306</v>
      </c>
    </row>
    <row r="41" spans="1:6" ht="12.75" customHeight="1">
      <c r="A41" s="129" t="s">
        <v>93</v>
      </c>
      <c r="B41" s="255"/>
      <c r="C41" s="130" t="s">
        <v>94</v>
      </c>
      <c r="D41" s="358">
        <f>D23+D14+D9+D4+D38</f>
        <v>6085883</v>
      </c>
      <c r="E41" s="358">
        <f>E23+E14+E9+E4+E38</f>
        <v>6068795.55</v>
      </c>
      <c r="F41" s="289">
        <f t="shared" si="1"/>
        <v>99.71922808900533</v>
      </c>
    </row>
    <row r="42" spans="1:6" ht="12.75" customHeight="1">
      <c r="A42" s="194" t="s">
        <v>89</v>
      </c>
      <c r="B42" s="195" t="s">
        <v>119</v>
      </c>
      <c r="C42" s="196" t="s">
        <v>409</v>
      </c>
      <c r="D42" s="358" t="s">
        <v>238</v>
      </c>
      <c r="E42" s="363" t="s">
        <v>239</v>
      </c>
      <c r="F42" s="273" t="s">
        <v>234</v>
      </c>
    </row>
    <row r="43" spans="1:6" ht="12.75" customHeight="1">
      <c r="A43" s="555" t="s">
        <v>66</v>
      </c>
      <c r="B43" s="203"/>
      <c r="C43" s="47" t="s">
        <v>240</v>
      </c>
      <c r="D43" s="359">
        <f>D44</f>
        <v>93631</v>
      </c>
      <c r="E43" s="359">
        <f>E44</f>
        <v>91703.02</v>
      </c>
      <c r="F43" s="285">
        <f>E43/D43%</f>
        <v>97.94087428309001</v>
      </c>
    </row>
    <row r="44" spans="1:6" ht="12.75" customHeight="1">
      <c r="A44" s="556"/>
      <c r="B44" s="258" t="s">
        <v>274</v>
      </c>
      <c r="C44" s="46" t="s">
        <v>299</v>
      </c>
      <c r="D44" s="360">
        <f>D45</f>
        <v>93631</v>
      </c>
      <c r="E44" s="360">
        <f>E45</f>
        <v>91703.02</v>
      </c>
      <c r="F44" s="286">
        <f>E44/D44%</f>
        <v>97.94087428309001</v>
      </c>
    </row>
    <row r="45" spans="1:6" ht="12.75" customHeight="1">
      <c r="A45" s="557"/>
      <c r="B45" s="204">
        <v>2010</v>
      </c>
      <c r="C45" s="48" t="s">
        <v>300</v>
      </c>
      <c r="D45" s="361">
        <f>'FK-doch'!D37</f>
        <v>93631</v>
      </c>
      <c r="E45" s="361">
        <f>'FK-doch'!E37</f>
        <v>91703.02</v>
      </c>
      <c r="F45" s="287">
        <f>E45/D45%</f>
        <v>97.94087428309001</v>
      </c>
    </row>
    <row r="46" spans="1:6" ht="12.75" customHeight="1">
      <c r="A46" s="559">
        <v>750</v>
      </c>
      <c r="B46" s="256"/>
      <c r="C46" s="49" t="s">
        <v>7</v>
      </c>
      <c r="D46" s="357">
        <f>D47</f>
        <v>136768</v>
      </c>
      <c r="E46" s="357">
        <f>E47</f>
        <v>136768</v>
      </c>
      <c r="F46" s="288">
        <f aca="true" t="shared" si="2" ref="F46:F68">E46/D46%</f>
        <v>100</v>
      </c>
    </row>
    <row r="47" spans="1:6" ht="12.75" customHeight="1">
      <c r="A47" s="559"/>
      <c r="B47" s="23">
        <v>75011</v>
      </c>
      <c r="C47" s="50" t="s">
        <v>91</v>
      </c>
      <c r="D47" s="201">
        <f>D48</f>
        <v>136768</v>
      </c>
      <c r="E47" s="201">
        <f>E48</f>
        <v>136768</v>
      </c>
      <c r="F47" s="286">
        <f t="shared" si="2"/>
        <v>100</v>
      </c>
    </row>
    <row r="48" spans="1:6" s="16" customFormat="1" ht="12.75" customHeight="1">
      <c r="A48" s="559"/>
      <c r="B48" s="257">
        <v>2010</v>
      </c>
      <c r="C48" s="50" t="s">
        <v>95</v>
      </c>
      <c r="D48" s="201">
        <f>'FK-doch'!D38</f>
        <v>136768</v>
      </c>
      <c r="E48" s="201">
        <f>'FK-doch'!E38</f>
        <v>136768</v>
      </c>
      <c r="F48" s="286">
        <f t="shared" si="2"/>
        <v>100</v>
      </c>
    </row>
    <row r="49" spans="1:6" ht="12.75" customHeight="1">
      <c r="A49" s="544">
        <v>751</v>
      </c>
      <c r="B49" s="74"/>
      <c r="C49" s="51" t="s">
        <v>168</v>
      </c>
      <c r="D49" s="199">
        <f>D50+D52</f>
        <v>48142</v>
      </c>
      <c r="E49" s="199">
        <f>E50+E52</f>
        <v>46305.28</v>
      </c>
      <c r="F49" s="285">
        <f t="shared" si="2"/>
        <v>96.18478667275974</v>
      </c>
    </row>
    <row r="50" spans="1:6" ht="12.75" customHeight="1">
      <c r="A50" s="545"/>
      <c r="B50" s="8">
        <v>75101</v>
      </c>
      <c r="C50" s="52" t="s">
        <v>168</v>
      </c>
      <c r="D50" s="201">
        <f>D51</f>
        <v>2946</v>
      </c>
      <c r="E50" s="200">
        <f>E51</f>
        <v>2934.75</v>
      </c>
      <c r="F50" s="286">
        <f t="shared" si="2"/>
        <v>99.61812627291242</v>
      </c>
    </row>
    <row r="51" spans="1:6" ht="12.75" customHeight="1">
      <c r="A51" s="545"/>
      <c r="B51" s="71">
        <v>2010</v>
      </c>
      <c r="C51" s="46" t="s">
        <v>95</v>
      </c>
      <c r="D51" s="201">
        <f>'FK-doch'!D39</f>
        <v>2946</v>
      </c>
      <c r="E51" s="201">
        <f>'FK-doch'!E39</f>
        <v>2934.75</v>
      </c>
      <c r="F51" s="286">
        <f t="shared" si="2"/>
        <v>99.61812627291242</v>
      </c>
    </row>
    <row r="52" spans="1:6" ht="12.75" customHeight="1">
      <c r="A52" s="70"/>
      <c r="B52" s="254">
        <v>75113</v>
      </c>
      <c r="C52" s="81" t="s">
        <v>512</v>
      </c>
      <c r="D52" s="201">
        <f>D53</f>
        <v>45196</v>
      </c>
      <c r="E52" s="201">
        <f>E53</f>
        <v>43370.53</v>
      </c>
      <c r="F52" s="286">
        <f t="shared" si="2"/>
        <v>95.96099212319675</v>
      </c>
    </row>
    <row r="53" spans="1:6" ht="12.75" customHeight="1">
      <c r="A53" s="75"/>
      <c r="B53" s="5">
        <v>2010</v>
      </c>
      <c r="C53" s="48" t="s">
        <v>95</v>
      </c>
      <c r="D53" s="202">
        <f>'FK-doch'!D40</f>
        <v>45196</v>
      </c>
      <c r="E53" s="202">
        <f>'FK-doch'!E40</f>
        <v>43370.53</v>
      </c>
      <c r="F53" s="287">
        <f t="shared" si="2"/>
        <v>95.96099212319675</v>
      </c>
    </row>
    <row r="54" spans="1:6" ht="12.75" customHeight="1">
      <c r="A54" s="544">
        <v>852</v>
      </c>
      <c r="B54" s="74"/>
      <c r="C54" s="51" t="s">
        <v>98</v>
      </c>
      <c r="D54" s="199">
        <f>D55+D59+D61+D63+D57</f>
        <v>5760838</v>
      </c>
      <c r="E54" s="199">
        <f>E55+E59+E61+E63+E57</f>
        <v>5749159.09</v>
      </c>
      <c r="F54" s="288">
        <f t="shared" si="2"/>
        <v>99.79727064013952</v>
      </c>
    </row>
    <row r="55" spans="1:6" ht="12.75" customHeight="1">
      <c r="A55" s="545"/>
      <c r="B55" s="8">
        <v>85203</v>
      </c>
      <c r="C55" s="52" t="s">
        <v>47</v>
      </c>
      <c r="D55" s="201">
        <f>D56</f>
        <v>433860</v>
      </c>
      <c r="E55" s="201">
        <f>E56</f>
        <v>433834.47</v>
      </c>
      <c r="F55" s="286">
        <f t="shared" si="2"/>
        <v>99.99411561333147</v>
      </c>
    </row>
    <row r="56" spans="1:6" ht="12.75" customHeight="1">
      <c r="A56" s="545"/>
      <c r="B56" s="71">
        <v>2010</v>
      </c>
      <c r="C56" s="52" t="s">
        <v>95</v>
      </c>
      <c r="D56" s="201">
        <f>'FK-doch'!D41</f>
        <v>433860</v>
      </c>
      <c r="E56" s="201">
        <f>'FK-doch'!E41</f>
        <v>433834.47</v>
      </c>
      <c r="F56" s="286">
        <f t="shared" si="2"/>
        <v>99.99411561333147</v>
      </c>
    </row>
    <row r="57" spans="1:6" ht="12.75" customHeight="1">
      <c r="A57" s="545"/>
      <c r="B57" s="8">
        <v>85212</v>
      </c>
      <c r="C57" s="52" t="s">
        <v>155</v>
      </c>
      <c r="D57" s="201">
        <f>D58</f>
        <v>5033720</v>
      </c>
      <c r="E57" s="201">
        <f>E58</f>
        <v>5033567.54</v>
      </c>
      <c r="F57" s="286">
        <f t="shared" si="2"/>
        <v>99.99697122605151</v>
      </c>
    </row>
    <row r="58" spans="1:6" ht="12.75" customHeight="1">
      <c r="A58" s="545"/>
      <c r="B58" s="71">
        <v>2010</v>
      </c>
      <c r="C58" s="52" t="s">
        <v>95</v>
      </c>
      <c r="D58" s="201">
        <f>'FK-doch'!D42</f>
        <v>5033720</v>
      </c>
      <c r="E58" s="201">
        <f>'FK-doch'!E42</f>
        <v>5033567.54</v>
      </c>
      <c r="F58" s="286">
        <f t="shared" si="2"/>
        <v>99.99697122605151</v>
      </c>
    </row>
    <row r="59" spans="1:6" ht="12.75" customHeight="1">
      <c r="A59" s="545"/>
      <c r="B59" s="8">
        <v>85213</v>
      </c>
      <c r="C59" s="52" t="s">
        <v>48</v>
      </c>
      <c r="D59" s="201">
        <f>D60</f>
        <v>17425</v>
      </c>
      <c r="E59" s="201">
        <f>E60</f>
        <v>17425</v>
      </c>
      <c r="F59" s="286">
        <f t="shared" si="2"/>
        <v>100</v>
      </c>
    </row>
    <row r="60" spans="1:6" ht="12.75" customHeight="1">
      <c r="A60" s="545"/>
      <c r="B60" s="71">
        <v>2010</v>
      </c>
      <c r="C60" s="52" t="s">
        <v>95</v>
      </c>
      <c r="D60" s="201">
        <f>'FK-doch'!D43</f>
        <v>17425</v>
      </c>
      <c r="E60" s="201">
        <f>'FK-doch'!E43</f>
        <v>17425</v>
      </c>
      <c r="F60" s="286">
        <f t="shared" si="2"/>
        <v>100</v>
      </c>
    </row>
    <row r="61" spans="1:6" ht="12.75" customHeight="1">
      <c r="A61" s="545"/>
      <c r="B61" s="8">
        <v>85214</v>
      </c>
      <c r="C61" s="52" t="s">
        <v>96</v>
      </c>
      <c r="D61" s="201">
        <f>D62</f>
        <v>150597</v>
      </c>
      <c r="E61" s="201">
        <f>E62</f>
        <v>150596.8</v>
      </c>
      <c r="F61" s="286">
        <f t="shared" si="2"/>
        <v>99.99986719522964</v>
      </c>
    </row>
    <row r="62" spans="1:6" ht="12.75" customHeight="1">
      <c r="A62" s="545"/>
      <c r="B62" s="71">
        <v>2010</v>
      </c>
      <c r="C62" s="52" t="s">
        <v>95</v>
      </c>
      <c r="D62" s="201">
        <f>'FK-doch'!D44</f>
        <v>150597</v>
      </c>
      <c r="E62" s="201">
        <f>'FK-doch'!E44</f>
        <v>150596.8</v>
      </c>
      <c r="F62" s="286">
        <f t="shared" si="2"/>
        <v>99.99986719522964</v>
      </c>
    </row>
    <row r="63" spans="1:6" ht="12.75" customHeight="1">
      <c r="A63" s="545"/>
      <c r="B63" s="8">
        <v>85228</v>
      </c>
      <c r="C63" s="52" t="s">
        <v>52</v>
      </c>
      <c r="D63" s="201">
        <f>D64</f>
        <v>125236</v>
      </c>
      <c r="E63" s="201">
        <f>E64</f>
        <v>113735.28</v>
      </c>
      <c r="F63" s="286">
        <f t="shared" si="2"/>
        <v>90.81676195343192</v>
      </c>
    </row>
    <row r="64" spans="1:6" s="16" customFormat="1" ht="12.75" customHeight="1">
      <c r="A64" s="558"/>
      <c r="B64" s="5">
        <v>2010</v>
      </c>
      <c r="C64" s="439" t="s">
        <v>95</v>
      </c>
      <c r="D64" s="202">
        <f>'FK-doch'!D45</f>
        <v>125236</v>
      </c>
      <c r="E64" s="202">
        <f>'FK-doch'!E45</f>
        <v>113735.28</v>
      </c>
      <c r="F64" s="286">
        <f t="shared" si="2"/>
        <v>90.81676195343192</v>
      </c>
    </row>
    <row r="65" spans="1:6" s="16" customFormat="1" ht="12.75" customHeight="1">
      <c r="A65" s="70">
        <v>921</v>
      </c>
      <c r="B65" s="440"/>
      <c r="C65" s="45" t="s">
        <v>11</v>
      </c>
      <c r="D65" s="357">
        <f>D66</f>
        <v>46504</v>
      </c>
      <c r="E65" s="357">
        <f>E66</f>
        <v>44860.16</v>
      </c>
      <c r="F65" s="285">
        <f t="shared" si="2"/>
        <v>96.46516428694306</v>
      </c>
    </row>
    <row r="66" spans="1:6" s="16" customFormat="1" ht="12.75" customHeight="1">
      <c r="A66" s="70"/>
      <c r="B66" s="71">
        <v>92116</v>
      </c>
      <c r="C66" s="46" t="s">
        <v>61</v>
      </c>
      <c r="D66" s="201">
        <f>D67</f>
        <v>46504</v>
      </c>
      <c r="E66" s="201">
        <f>E67</f>
        <v>44860.16</v>
      </c>
      <c r="F66" s="286">
        <f t="shared" si="2"/>
        <v>96.46516428694306</v>
      </c>
    </row>
    <row r="67" spans="1:6" s="16" customFormat="1" ht="12.75" customHeight="1">
      <c r="A67" s="70"/>
      <c r="B67" s="5">
        <v>2010</v>
      </c>
      <c r="C67" s="439" t="s">
        <v>95</v>
      </c>
      <c r="D67" s="201">
        <f>'FK-doch'!D46</f>
        <v>46504</v>
      </c>
      <c r="E67" s="201">
        <f>'FK-doch'!E46</f>
        <v>44860.16</v>
      </c>
      <c r="F67" s="287">
        <f t="shared" si="2"/>
        <v>96.46516428694306</v>
      </c>
    </row>
    <row r="68" spans="1:6" ht="12.75" customHeight="1">
      <c r="A68" s="129" t="s">
        <v>93</v>
      </c>
      <c r="B68" s="255"/>
      <c r="C68" s="130" t="s">
        <v>97</v>
      </c>
      <c r="D68" s="358">
        <f>D54+D49+D46+D43+D65</f>
        <v>6085883</v>
      </c>
      <c r="E68" s="358">
        <f>E54+E49+E46+E43+E65</f>
        <v>6068795.55</v>
      </c>
      <c r="F68" s="290">
        <f t="shared" si="2"/>
        <v>99.71922808900533</v>
      </c>
    </row>
    <row r="70" spans="4:5" ht="12.75" customHeight="1">
      <c r="D70" s="354">
        <f>D41-D68</f>
        <v>0</v>
      </c>
      <c r="E70" s="354">
        <f>E41-E68</f>
        <v>0</v>
      </c>
    </row>
  </sheetData>
  <mergeCells count="9">
    <mergeCell ref="A2:F2"/>
    <mergeCell ref="A4:A8"/>
    <mergeCell ref="A14:A16"/>
    <mergeCell ref="A23:A37"/>
    <mergeCell ref="A9:A13"/>
    <mergeCell ref="A43:A45"/>
    <mergeCell ref="A49:A51"/>
    <mergeCell ref="A54:A64"/>
    <mergeCell ref="A46:A48"/>
  </mergeCells>
  <printOptions/>
  <pageMargins left="0.72" right="0.22" top="0.14" bottom="0.19" header="0.12" footer="0.19"/>
  <pageSetup fitToHeight="1" fitToWidth="1"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workbookViewId="0" topLeftCell="A1">
      <selection activeCell="C22" sqref="C22"/>
    </sheetView>
  </sheetViews>
  <sheetFormatPr defaultColWidth="9.00390625" defaultRowHeight="12.75" customHeight="1"/>
  <cols>
    <col min="1" max="1" width="5.125" style="3" customWidth="1"/>
    <col min="2" max="2" width="36.625" style="3" customWidth="1"/>
    <col min="3" max="3" width="13.00390625" style="3" customWidth="1"/>
    <col min="4" max="5" width="13.00390625" style="1" customWidth="1"/>
    <col min="6" max="16384" width="9.125" style="1" customWidth="1"/>
  </cols>
  <sheetData>
    <row r="1" spans="4:5" ht="12.75" customHeight="1">
      <c r="D1" s="66"/>
      <c r="E1" s="80" t="s">
        <v>120</v>
      </c>
    </row>
    <row r="2" spans="4:5" ht="15" customHeight="1">
      <c r="D2" s="66"/>
      <c r="E2" s="80"/>
    </row>
    <row r="3" spans="1:5" ht="15" customHeight="1">
      <c r="A3" s="565" t="s">
        <v>569</v>
      </c>
      <c r="B3" s="565"/>
      <c r="C3" s="565"/>
      <c r="D3" s="565"/>
      <c r="E3" s="565"/>
    </row>
    <row r="4" spans="1:5" ht="15" customHeight="1">
      <c r="A4" s="57"/>
      <c r="B4" s="57"/>
      <c r="C4" s="57"/>
      <c r="D4" s="57"/>
      <c r="E4" s="57"/>
    </row>
    <row r="5" spans="1:5" ht="15" customHeight="1">
      <c r="A5" s="566" t="s">
        <v>301</v>
      </c>
      <c r="B5" s="568" t="s">
        <v>105</v>
      </c>
      <c r="C5" s="570" t="s">
        <v>527</v>
      </c>
      <c r="D5" s="210" t="s">
        <v>302</v>
      </c>
      <c r="E5" s="125" t="s">
        <v>303</v>
      </c>
    </row>
    <row r="6" spans="1:5" ht="15" customHeight="1">
      <c r="A6" s="567"/>
      <c r="B6" s="569"/>
      <c r="C6" s="571"/>
      <c r="D6" s="211" t="s">
        <v>239</v>
      </c>
      <c r="E6" s="212" t="s">
        <v>239</v>
      </c>
    </row>
    <row r="7" spans="1:5" ht="15" customHeight="1">
      <c r="A7" s="77">
        <v>1</v>
      </c>
      <c r="B7" s="13" t="s">
        <v>106</v>
      </c>
      <c r="C7" s="146">
        <v>152000</v>
      </c>
      <c r="D7" s="264">
        <v>128057.79</v>
      </c>
      <c r="E7" s="265">
        <v>151824.16</v>
      </c>
    </row>
    <row r="8" spans="1:5" ht="15" customHeight="1">
      <c r="A8" s="77">
        <v>2</v>
      </c>
      <c r="B8" s="13" t="s">
        <v>304</v>
      </c>
      <c r="C8" s="146">
        <f>1110500</f>
        <v>1110500</v>
      </c>
      <c r="D8" s="266">
        <v>1050255.39</v>
      </c>
      <c r="E8" s="225">
        <v>1059680.89</v>
      </c>
    </row>
    <row r="9" spans="1:5" ht="15" customHeight="1">
      <c r="A9" s="77">
        <v>3</v>
      </c>
      <c r="B9" s="13" t="s">
        <v>305</v>
      </c>
      <c r="C9" s="146">
        <f>43558.42+822217.34</f>
        <v>865775.76</v>
      </c>
      <c r="D9" s="266">
        <f>43488.37+774967.91</f>
        <v>818456.28</v>
      </c>
      <c r="E9" s="225">
        <f>43518.37+768550.17</f>
        <v>812068.54</v>
      </c>
    </row>
    <row r="10" spans="1:5" ht="15" customHeight="1">
      <c r="A10" s="79">
        <v>4</v>
      </c>
      <c r="B10" s="206" t="s">
        <v>217</v>
      </c>
      <c r="C10" s="147">
        <v>2445000</v>
      </c>
      <c r="D10" s="267">
        <v>2355856.91</v>
      </c>
      <c r="E10" s="268">
        <v>2854793.62</v>
      </c>
    </row>
    <row r="11" spans="3:5" ht="15" customHeight="1">
      <c r="C11" s="296">
        <f>SUM(C7:C10)</f>
        <v>4573275.76</v>
      </c>
      <c r="D11" s="296">
        <f>SUM(D7:D10)</f>
        <v>4352626.37</v>
      </c>
      <c r="E11" s="296">
        <f>SUM(E7:E10)</f>
        <v>4878367.21</v>
      </c>
    </row>
    <row r="12" spans="4:5" ht="15" customHeight="1">
      <c r="D12" s="66"/>
      <c r="E12" s="66"/>
    </row>
    <row r="13" spans="4:5" ht="15" customHeight="1">
      <c r="D13" s="66"/>
      <c r="E13" s="80" t="s">
        <v>121</v>
      </c>
    </row>
    <row r="14" spans="4:5" ht="15" customHeight="1">
      <c r="D14" s="66"/>
      <c r="E14" s="80"/>
    </row>
    <row r="15" spans="1:5" ht="15" customHeight="1">
      <c r="A15" s="565" t="s">
        <v>570</v>
      </c>
      <c r="B15" s="565"/>
      <c r="C15" s="565"/>
      <c r="D15" s="565"/>
      <c r="E15" s="565"/>
    </row>
    <row r="16" spans="1:5" ht="15" customHeight="1">
      <c r="A16" s="57"/>
      <c r="B16" s="57"/>
      <c r="C16" s="57"/>
      <c r="D16" s="57"/>
      <c r="E16" s="57"/>
    </row>
    <row r="17" spans="1:5" ht="15" customHeight="1">
      <c r="A17" s="572" t="s">
        <v>301</v>
      </c>
      <c r="B17" s="572" t="s">
        <v>306</v>
      </c>
      <c r="C17" s="576" t="s">
        <v>528</v>
      </c>
      <c r="D17" s="125" t="s">
        <v>307</v>
      </c>
      <c r="E17" s="210" t="s">
        <v>303</v>
      </c>
    </row>
    <row r="18" spans="1:5" ht="15" customHeight="1">
      <c r="A18" s="573"/>
      <c r="B18" s="573"/>
      <c r="C18" s="577"/>
      <c r="D18" s="214" t="s">
        <v>239</v>
      </c>
      <c r="E18" s="213" t="s">
        <v>239</v>
      </c>
    </row>
    <row r="19" spans="1:5" ht="15" customHeight="1">
      <c r="A19" s="207">
        <v>1</v>
      </c>
      <c r="B19" s="208" t="s">
        <v>308</v>
      </c>
      <c r="C19" s="251">
        <v>100000</v>
      </c>
      <c r="D19" s="84">
        <v>100133.44</v>
      </c>
      <c r="E19" s="215">
        <v>98708.67</v>
      </c>
    </row>
    <row r="20" spans="1:5" ht="15" customHeight="1">
      <c r="A20" s="77">
        <v>2</v>
      </c>
      <c r="B20" s="13" t="s">
        <v>309</v>
      </c>
      <c r="C20" s="252">
        <v>150000</v>
      </c>
      <c r="D20" s="225">
        <v>132976.57</v>
      </c>
      <c r="E20" s="78">
        <v>135470.47</v>
      </c>
    </row>
    <row r="21" spans="1:5" ht="15" customHeight="1">
      <c r="A21" s="77">
        <v>3</v>
      </c>
      <c r="B21" s="13" t="s">
        <v>174</v>
      </c>
      <c r="C21" s="252">
        <v>17000</v>
      </c>
      <c r="D21" s="82">
        <v>11633.73</v>
      </c>
      <c r="E21" s="78">
        <v>11634.38</v>
      </c>
    </row>
    <row r="22" spans="1:5" ht="15" customHeight="1">
      <c r="A22" s="77">
        <v>4</v>
      </c>
      <c r="B22" s="13" t="s">
        <v>170</v>
      </c>
      <c r="C22" s="252">
        <v>38205</v>
      </c>
      <c r="D22" s="82">
        <v>35488.14</v>
      </c>
      <c r="E22" s="78">
        <v>35503.26</v>
      </c>
    </row>
    <row r="23" spans="1:5" ht="15" customHeight="1">
      <c r="A23" s="77">
        <v>5</v>
      </c>
      <c r="B23" s="13" t="s">
        <v>172</v>
      </c>
      <c r="C23" s="252">
        <v>40000</v>
      </c>
      <c r="D23" s="67">
        <v>34589.73</v>
      </c>
      <c r="E23" s="216">
        <v>34613.34</v>
      </c>
    </row>
    <row r="24" spans="1:5" ht="15" customHeight="1">
      <c r="A24" s="77">
        <v>6</v>
      </c>
      <c r="B24" s="13" t="s">
        <v>531</v>
      </c>
      <c r="C24" s="252">
        <v>13000</v>
      </c>
      <c r="D24" s="67">
        <v>9817.21</v>
      </c>
      <c r="E24" s="216">
        <v>9822.99</v>
      </c>
    </row>
    <row r="25" spans="1:5" ht="15" customHeight="1">
      <c r="A25" s="77">
        <v>7</v>
      </c>
      <c r="B25" s="13" t="s">
        <v>175</v>
      </c>
      <c r="C25" s="252">
        <v>10000</v>
      </c>
      <c r="D25" s="67">
        <v>6772.44</v>
      </c>
      <c r="E25" s="216">
        <v>6773.91</v>
      </c>
    </row>
    <row r="26" spans="1:5" ht="15" customHeight="1">
      <c r="A26" s="77">
        <v>8</v>
      </c>
      <c r="B26" s="13" t="s">
        <v>176</v>
      </c>
      <c r="C26" s="252">
        <v>20000</v>
      </c>
      <c r="D26" s="67">
        <v>14614.36</v>
      </c>
      <c r="E26" s="216">
        <v>14617.98</v>
      </c>
    </row>
    <row r="27" spans="1:5" ht="15" customHeight="1">
      <c r="A27" s="77">
        <v>9</v>
      </c>
      <c r="B27" s="13" t="s">
        <v>173</v>
      </c>
      <c r="C27" s="252">
        <v>13000</v>
      </c>
      <c r="D27" s="67">
        <v>11392.38</v>
      </c>
      <c r="E27" s="216">
        <v>11392.95</v>
      </c>
    </row>
    <row r="28" spans="1:5" ht="15" customHeight="1">
      <c r="A28" s="77">
        <v>10</v>
      </c>
      <c r="B28" s="13" t="s">
        <v>177</v>
      </c>
      <c r="C28" s="252">
        <v>43262</v>
      </c>
      <c r="D28" s="67">
        <v>39048.09</v>
      </c>
      <c r="E28" s="216">
        <v>39052.31</v>
      </c>
    </row>
    <row r="29" spans="1:5" ht="15" customHeight="1">
      <c r="A29" s="77">
        <v>11</v>
      </c>
      <c r="B29" s="13" t="s">
        <v>171</v>
      </c>
      <c r="C29" s="252">
        <v>28000</v>
      </c>
      <c r="D29" s="67">
        <v>19714.04</v>
      </c>
      <c r="E29" s="216">
        <v>19737.32</v>
      </c>
    </row>
    <row r="30" spans="1:5" ht="15" customHeight="1">
      <c r="A30" s="79">
        <v>12</v>
      </c>
      <c r="B30" s="206" t="s">
        <v>407</v>
      </c>
      <c r="C30" s="253">
        <v>11496.5</v>
      </c>
      <c r="D30" s="226">
        <v>11496.5</v>
      </c>
      <c r="E30" s="227">
        <v>651601.29</v>
      </c>
    </row>
    <row r="31" spans="1:5" ht="15" customHeight="1">
      <c r="A31" s="59"/>
      <c r="B31" s="145"/>
      <c r="C31" s="297">
        <f>SUM(C19:C30)</f>
        <v>483963.5</v>
      </c>
      <c r="D31" s="297">
        <f>SUM(D19:D30)</f>
        <v>427676.62999999995</v>
      </c>
      <c r="E31" s="297">
        <f>SUM(E19:E30)</f>
        <v>1068928.87</v>
      </c>
    </row>
    <row r="32" spans="2:5" ht="15" customHeight="1">
      <c r="B32" s="145"/>
      <c r="C32" s="145"/>
      <c r="D32" s="66"/>
      <c r="E32" s="66"/>
    </row>
    <row r="33" spans="2:5" ht="15" customHeight="1">
      <c r="B33" s="145"/>
      <c r="C33" s="145"/>
      <c r="D33" s="66"/>
      <c r="E33" s="80" t="s">
        <v>122</v>
      </c>
    </row>
    <row r="34" spans="1:5" ht="15" customHeight="1">
      <c r="A34" s="574" t="s">
        <v>571</v>
      </c>
      <c r="B34" s="574"/>
      <c r="C34" s="574"/>
      <c r="D34" s="574"/>
      <c r="E34" s="574"/>
    </row>
    <row r="35" spans="1:5" ht="15" customHeight="1">
      <c r="A35" s="575" t="s">
        <v>529</v>
      </c>
      <c r="B35" s="575"/>
      <c r="C35" s="298">
        <v>170130.05</v>
      </c>
      <c r="E35" s="66"/>
    </row>
    <row r="36" spans="1:5" ht="15" customHeight="1">
      <c r="A36" s="578" t="s">
        <v>572</v>
      </c>
      <c r="B36" s="578"/>
      <c r="C36" s="209">
        <v>29836.34</v>
      </c>
      <c r="E36" s="66"/>
    </row>
    <row r="37" spans="1:5" ht="15" customHeight="1">
      <c r="A37" s="578" t="s">
        <v>12</v>
      </c>
      <c r="B37" s="578"/>
      <c r="C37" s="209">
        <f>C35+C36</f>
        <v>199966.38999999998</v>
      </c>
      <c r="E37" s="66"/>
    </row>
    <row r="38" spans="1:5" ht="15" customHeight="1">
      <c r="A38" s="578" t="s">
        <v>573</v>
      </c>
      <c r="B38" s="578"/>
      <c r="C38" s="209">
        <v>55529.2</v>
      </c>
      <c r="E38" s="66"/>
    </row>
    <row r="39" spans="1:5" ht="15" customHeight="1">
      <c r="A39" s="575" t="s">
        <v>530</v>
      </c>
      <c r="B39" s="575"/>
      <c r="C39" s="298">
        <f>C37-C38</f>
        <v>144437.19</v>
      </c>
      <c r="E39" s="66"/>
    </row>
    <row r="40" spans="4:5" ht="12.75" customHeight="1">
      <c r="D40" s="66"/>
      <c r="E40" s="66"/>
    </row>
    <row r="41" spans="4:5" ht="12.75" customHeight="1">
      <c r="D41" s="66"/>
      <c r="E41" s="66"/>
    </row>
    <row r="42" spans="4:5" ht="12.75" customHeight="1">
      <c r="D42" s="66"/>
      <c r="E42" s="66"/>
    </row>
  </sheetData>
  <mergeCells count="14">
    <mergeCell ref="A36:B36"/>
    <mergeCell ref="A37:B37"/>
    <mergeCell ref="A38:B38"/>
    <mergeCell ref="A39:B39"/>
    <mergeCell ref="A17:A18"/>
    <mergeCell ref="B17:B18"/>
    <mergeCell ref="A34:E34"/>
    <mergeCell ref="A35:B35"/>
    <mergeCell ref="C17:C18"/>
    <mergeCell ref="A3:E3"/>
    <mergeCell ref="A5:A6"/>
    <mergeCell ref="B5:B6"/>
    <mergeCell ref="A15:E15"/>
    <mergeCell ref="C5:C6"/>
  </mergeCells>
  <printOptions/>
  <pageMargins left="0.75" right="0.75" top="0.3" bottom="0.24" header="0.25" footer="0.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K19" sqref="K19"/>
    </sheetView>
  </sheetViews>
  <sheetFormatPr defaultColWidth="9.00390625" defaultRowHeight="12.75"/>
  <cols>
    <col min="1" max="1" width="9.00390625" style="39" customWidth="1"/>
    <col min="2" max="2" width="14.375" style="39" customWidth="1"/>
    <col min="3" max="3" width="14.75390625" style="39" customWidth="1"/>
    <col min="4" max="4" width="3.375" style="217" customWidth="1"/>
    <col min="5" max="5" width="14.00390625" style="39" customWidth="1"/>
    <col min="6" max="7" width="14.125" style="87" customWidth="1"/>
    <col min="8" max="8" width="9.875" style="270" customWidth="1"/>
    <col min="9" max="9" width="15.875" style="218" customWidth="1"/>
    <col min="10" max="16384" width="9.125" style="1" customWidth="1"/>
  </cols>
  <sheetData>
    <row r="1" ht="12.75"/>
    <row r="2" spans="2:8" ht="12.75">
      <c r="B2" s="87" t="s">
        <v>238</v>
      </c>
      <c r="C2" s="87"/>
      <c r="D2" s="87"/>
      <c r="E2" s="87" t="s">
        <v>239</v>
      </c>
      <c r="F2" s="66"/>
      <c r="H2" s="58"/>
    </row>
    <row r="3" spans="1:8" ht="12.75">
      <c r="A3" s="39" t="s">
        <v>123</v>
      </c>
      <c r="B3" s="191">
        <v>42949786.94</v>
      </c>
      <c r="C3" s="215" t="s">
        <v>541</v>
      </c>
      <c r="D3" s="87"/>
      <c r="E3" s="87" t="str">
        <f>A3</f>
        <v>Dochody</v>
      </c>
      <c r="F3" s="66"/>
      <c r="H3" s="58"/>
    </row>
    <row r="4" spans="2:8" ht="12.75">
      <c r="B4" s="219">
        <f>Dochody!D108</f>
        <v>45423757.39</v>
      </c>
      <c r="C4" s="345" t="s">
        <v>574</v>
      </c>
      <c r="D4" s="87"/>
      <c r="E4" s="87">
        <f>Dochody!E108</f>
        <v>46229603.14</v>
      </c>
      <c r="F4" s="66"/>
      <c r="H4" s="58"/>
    </row>
    <row r="5" spans="2:8" ht="12.75">
      <c r="B5" s="220">
        <f>B4-B3</f>
        <v>2473970.450000003</v>
      </c>
      <c r="C5" s="221" t="s">
        <v>310</v>
      </c>
      <c r="D5" s="87"/>
      <c r="E5" s="87"/>
      <c r="F5" s="66"/>
      <c r="H5" s="58"/>
    </row>
    <row r="6" spans="2:8" ht="12.75">
      <c r="B6" s="87"/>
      <c r="C6" s="87"/>
      <c r="D6" s="87"/>
      <c r="E6" s="87"/>
      <c r="F6" s="66"/>
      <c r="H6" s="58"/>
    </row>
    <row r="7" spans="1:8" ht="12.75">
      <c r="A7" s="39" t="s">
        <v>104</v>
      </c>
      <c r="B7" s="191">
        <v>52202013.34</v>
      </c>
      <c r="C7" s="215" t="s">
        <v>541</v>
      </c>
      <c r="D7" s="87"/>
      <c r="E7" s="87" t="str">
        <f>A7</f>
        <v>Wydatki</v>
      </c>
      <c r="F7" s="66"/>
      <c r="H7" s="58"/>
    </row>
    <row r="8" spans="2:8" ht="12.75">
      <c r="B8" s="219">
        <f>Wydatki!C246</f>
        <v>48901495.31</v>
      </c>
      <c r="C8" s="345" t="s">
        <v>574</v>
      </c>
      <c r="D8" s="87"/>
      <c r="E8" s="87">
        <f>Wydatki!D246</f>
        <v>47121646.330000006</v>
      </c>
      <c r="F8" s="66">
        <v>38245200.98</v>
      </c>
      <c r="G8" s="87">
        <v>37380075.79</v>
      </c>
      <c r="H8" s="58">
        <f>G8/F8%</f>
        <v>97.73795099036764</v>
      </c>
    </row>
    <row r="9" spans="2:8" ht="12.75">
      <c r="B9" s="220">
        <f>B8-B7</f>
        <v>-3300518.030000001</v>
      </c>
      <c r="C9" s="221" t="s">
        <v>310</v>
      </c>
      <c r="D9" s="87"/>
      <c r="E9" s="87"/>
      <c r="F9" s="66">
        <v>10656294.33</v>
      </c>
      <c r="G9" s="87">
        <v>9741568.66</v>
      </c>
      <c r="H9" s="58">
        <f>G9/F9%</f>
        <v>91.41609980286647</v>
      </c>
    </row>
    <row r="10" spans="2:8" ht="12.75">
      <c r="B10" s="87"/>
      <c r="C10" s="87"/>
      <c r="D10" s="87"/>
      <c r="E10" s="87"/>
      <c r="F10" s="66">
        <f>F8+F9-B8</f>
        <v>0</v>
      </c>
      <c r="G10" s="87">
        <f>G8+G9-E8</f>
        <v>-1.880000002682209</v>
      </c>
      <c r="H10" s="58"/>
    </row>
    <row r="11" spans="1:8" ht="12.75">
      <c r="A11" s="39" t="s">
        <v>220</v>
      </c>
      <c r="B11" s="191">
        <f>B3-B7</f>
        <v>-9252226.400000006</v>
      </c>
      <c r="C11" s="215" t="s">
        <v>541</v>
      </c>
      <c r="D11" s="87"/>
      <c r="E11" s="87" t="s">
        <v>311</v>
      </c>
      <c r="F11" s="66"/>
      <c r="H11" s="58"/>
    </row>
    <row r="12" spans="2:8" ht="12.75">
      <c r="B12" s="219">
        <f>B4-B8</f>
        <v>-3477737.920000002</v>
      </c>
      <c r="C12" s="345" t="s">
        <v>574</v>
      </c>
      <c r="D12" s="87"/>
      <c r="E12" s="87">
        <f>E4-E8</f>
        <v>-892043.1900000051</v>
      </c>
      <c r="F12" s="66"/>
      <c r="H12" s="58"/>
    </row>
    <row r="13" spans="2:8" ht="12.75">
      <c r="B13" s="222">
        <f>B5-B9</f>
        <v>5774488.480000004</v>
      </c>
      <c r="C13" s="221" t="s">
        <v>310</v>
      </c>
      <c r="D13" s="87"/>
      <c r="E13" s="87"/>
      <c r="F13" s="66"/>
      <c r="H13" s="58"/>
    </row>
    <row r="14" spans="2:8" ht="12.75">
      <c r="B14" s="87"/>
      <c r="C14" s="87"/>
      <c r="D14" s="87"/>
      <c r="E14" s="87"/>
      <c r="H14" s="58"/>
    </row>
    <row r="15" spans="2:8" ht="12.75">
      <c r="B15" s="87"/>
      <c r="C15" s="87"/>
      <c r="D15" s="87"/>
      <c r="E15" s="87"/>
      <c r="H15" s="58"/>
    </row>
    <row r="16" spans="1:8" ht="12.75">
      <c r="A16" s="2" t="s">
        <v>312</v>
      </c>
      <c r="B16" s="87"/>
      <c r="C16" s="87"/>
      <c r="D16" s="87"/>
      <c r="E16" s="87"/>
      <c r="H16" s="58"/>
    </row>
    <row r="17" spans="2:8" ht="12.75">
      <c r="B17" s="87" t="s">
        <v>107</v>
      </c>
      <c r="C17" s="87" t="s">
        <v>313</v>
      </c>
      <c r="D17" s="87"/>
      <c r="E17" s="87"/>
      <c r="H17" s="58"/>
    </row>
    <row r="18" spans="1:8" ht="12.75">
      <c r="A18" s="39">
        <v>70004</v>
      </c>
      <c r="B18" s="269">
        <v>2355856.91</v>
      </c>
      <c r="C18" s="269">
        <v>2854793.62</v>
      </c>
      <c r="D18" s="87"/>
      <c r="E18" s="87">
        <v>499941.17</v>
      </c>
      <c r="F18" s="87">
        <f>C18-E18</f>
        <v>2354852.45</v>
      </c>
      <c r="H18" s="58"/>
    </row>
    <row r="19" spans="1:8" ht="12.75">
      <c r="A19" s="39">
        <v>80104</v>
      </c>
      <c r="B19" s="269">
        <v>1825223.3</v>
      </c>
      <c r="C19" s="269">
        <v>1828231.06</v>
      </c>
      <c r="D19" s="87"/>
      <c r="E19" s="87"/>
      <c r="H19" s="58"/>
    </row>
    <row r="20" spans="1:8" ht="12.75">
      <c r="A20" s="39">
        <v>80195</v>
      </c>
      <c r="B20" s="269">
        <v>43488.37</v>
      </c>
      <c r="C20" s="269">
        <v>43518.37</v>
      </c>
      <c r="D20" s="87"/>
      <c r="E20" s="87"/>
      <c r="H20" s="58"/>
    </row>
    <row r="21" spans="1:8" ht="12.75">
      <c r="A21" s="39">
        <v>92195</v>
      </c>
      <c r="B21" s="269">
        <v>128057.79</v>
      </c>
      <c r="C21" s="269">
        <v>151824.16</v>
      </c>
      <c r="D21" s="87"/>
      <c r="E21" s="87"/>
      <c r="H21" s="58"/>
    </row>
    <row r="22" spans="2:8" ht="12.75">
      <c r="B22" s="224">
        <f>SUM(B18:B21)</f>
        <v>4352626.37</v>
      </c>
      <c r="C22" s="224">
        <f>SUM(C18:C21)</f>
        <v>4878367.21</v>
      </c>
      <c r="D22" s="87"/>
      <c r="E22" s="87"/>
      <c r="H22" s="58"/>
    </row>
    <row r="23" spans="2:8" ht="12.75">
      <c r="B23" s="87"/>
      <c r="C23" s="87"/>
      <c r="D23" s="87"/>
      <c r="E23" s="87"/>
      <c r="H23" s="58"/>
    </row>
    <row r="24" spans="2:8" ht="12.75">
      <c r="B24" s="87" t="s">
        <v>455</v>
      </c>
      <c r="C24" s="87" t="s">
        <v>532</v>
      </c>
      <c r="D24" s="87"/>
      <c r="E24" s="87"/>
      <c r="F24" s="87" t="s">
        <v>456</v>
      </c>
      <c r="G24" s="87" t="s">
        <v>533</v>
      </c>
      <c r="H24" s="58"/>
    </row>
    <row r="25" spans="1:8" ht="14.25">
      <c r="A25" s="39">
        <v>70004</v>
      </c>
      <c r="B25" s="223">
        <v>714584.36</v>
      </c>
      <c r="C25" s="223">
        <f>210072.98</f>
        <v>210072.98</v>
      </c>
      <c r="D25" s="87"/>
      <c r="E25" s="58">
        <v>70004</v>
      </c>
      <c r="F25" s="223">
        <v>487155.82</v>
      </c>
      <c r="G25" s="223">
        <v>561710.04</v>
      </c>
      <c r="H25" s="58"/>
    </row>
    <row r="26" spans="1:8" ht="14.25">
      <c r="A26" s="39">
        <v>80104</v>
      </c>
      <c r="B26" s="223">
        <v>966.29</v>
      </c>
      <c r="C26" s="223">
        <v>4960.28</v>
      </c>
      <c r="D26" s="87"/>
      <c r="E26" s="58">
        <v>80104</v>
      </c>
      <c r="F26" s="223">
        <f>39719.23+71387.23</f>
        <v>111106.45999999999</v>
      </c>
      <c r="G26" s="223">
        <f>30+120902.45</f>
        <v>120932.45</v>
      </c>
      <c r="H26" s="58"/>
    </row>
    <row r="27" spans="1:8" ht="14.25">
      <c r="A27" s="39">
        <v>92195</v>
      </c>
      <c r="B27" s="223">
        <v>8532.21</v>
      </c>
      <c r="C27" s="223">
        <v>3407.76</v>
      </c>
      <c r="D27" s="87"/>
      <c r="E27" s="58">
        <v>92195</v>
      </c>
      <c r="F27" s="223">
        <v>3995.98</v>
      </c>
      <c r="G27" s="223">
        <v>0</v>
      </c>
      <c r="H27" s="58"/>
    </row>
    <row r="28" spans="2:8" ht="12.75">
      <c r="B28" s="224">
        <f>SUM(B25:B27)</f>
        <v>724082.86</v>
      </c>
      <c r="C28" s="224">
        <f>SUM(C25:C27)</f>
        <v>218441.02000000002</v>
      </c>
      <c r="D28" s="87"/>
      <c r="E28" s="87"/>
      <c r="F28" s="224">
        <f>SUM(F25:F27)</f>
        <v>602258.26</v>
      </c>
      <c r="G28" s="224">
        <f>SUM(G25:G27)</f>
        <v>682642.49</v>
      </c>
      <c r="H28" s="58"/>
    </row>
    <row r="29" spans="2:8" ht="14.25">
      <c r="B29" s="87"/>
      <c r="C29" s="87"/>
      <c r="D29" s="87"/>
      <c r="E29" s="87"/>
      <c r="H29" s="58"/>
    </row>
    <row r="30" spans="2:8" ht="14.25">
      <c r="B30" s="223">
        <f>B28-C28</f>
        <v>505641.83999999997</v>
      </c>
      <c r="C30" s="87"/>
      <c r="D30" s="87"/>
      <c r="E30" s="87"/>
      <c r="F30" s="223">
        <f>F28-G28</f>
        <v>-80384.22999999998</v>
      </c>
      <c r="H30" s="58"/>
    </row>
    <row r="31" spans="2:8" ht="14.25">
      <c r="B31" s="87"/>
      <c r="C31" s="87"/>
      <c r="D31" s="87"/>
      <c r="E31" s="87"/>
      <c r="H31" s="58"/>
    </row>
    <row r="32" spans="2:8" ht="14.25">
      <c r="B32" s="87"/>
      <c r="C32" s="87"/>
      <c r="D32" s="87"/>
      <c r="E32" s="87"/>
      <c r="H32" s="58"/>
    </row>
    <row r="33" spans="1:8" ht="14.25">
      <c r="A33" s="2" t="s">
        <v>314</v>
      </c>
      <c r="B33" s="87"/>
      <c r="C33" s="87"/>
      <c r="D33" s="87"/>
      <c r="E33" s="87"/>
      <c r="H33" s="58"/>
    </row>
    <row r="34" spans="2:8" ht="14.25">
      <c r="B34" s="87" t="s">
        <v>123</v>
      </c>
      <c r="C34" s="87" t="s">
        <v>313</v>
      </c>
      <c r="D34" s="87"/>
      <c r="E34" s="87"/>
      <c r="H34" s="58"/>
    </row>
    <row r="35" spans="1:8" ht="14.25">
      <c r="A35" s="39">
        <v>80148</v>
      </c>
      <c r="B35" s="223">
        <v>416180.13</v>
      </c>
      <c r="C35" s="223">
        <v>417327.58</v>
      </c>
      <c r="D35" s="87"/>
      <c r="E35" s="87"/>
      <c r="H35" s="58"/>
    </row>
    <row r="36" spans="1:8" ht="14.25">
      <c r="A36" s="39">
        <v>80101</v>
      </c>
      <c r="B36" s="223">
        <v>11496.5</v>
      </c>
      <c r="C36" s="223">
        <v>651601.29</v>
      </c>
      <c r="D36" s="87"/>
      <c r="E36" s="87"/>
      <c r="H36" s="58"/>
    </row>
    <row r="37" spans="2:8" ht="14.25">
      <c r="B37" s="224">
        <f>SUM(B35:B36)</f>
        <v>427676.63</v>
      </c>
      <c r="C37" s="224">
        <f>SUM(C35:C36)</f>
        <v>1068928.87</v>
      </c>
      <c r="D37" s="87"/>
      <c r="E37" s="87"/>
      <c r="H37" s="58"/>
    </row>
    <row r="39" spans="1:3" ht="14.25">
      <c r="A39" s="39" t="s">
        <v>410</v>
      </c>
      <c r="B39" s="39">
        <v>2008</v>
      </c>
      <c r="C39" s="39">
        <v>2009</v>
      </c>
    </row>
    <row r="40" spans="1:5" ht="14.25">
      <c r="A40" s="39" t="s">
        <v>411</v>
      </c>
      <c r="B40" s="223">
        <v>4133728.79</v>
      </c>
      <c r="C40" s="223">
        <v>4736565.16</v>
      </c>
      <c r="D40" s="87"/>
      <c r="E40" s="402">
        <f>C40-B40</f>
        <v>602836.3700000001</v>
      </c>
    </row>
    <row r="41" spans="1:5" ht="14.25">
      <c r="A41" s="39" t="s">
        <v>534</v>
      </c>
      <c r="B41" s="223">
        <v>163179.07</v>
      </c>
      <c r="C41" s="223">
        <v>197184.52</v>
      </c>
      <c r="D41" s="87"/>
      <c r="E41" s="402">
        <f aca="true" t="shared" si="0" ref="E41:E49">C41-B41</f>
        <v>34005.44999999998</v>
      </c>
    </row>
    <row r="42" spans="1:5" ht="14.25">
      <c r="A42" s="39" t="s">
        <v>412</v>
      </c>
      <c r="B42" s="223">
        <v>784685.5</v>
      </c>
      <c r="C42" s="223">
        <v>1007648.51</v>
      </c>
      <c r="D42" s="87"/>
      <c r="E42" s="402">
        <f t="shared" si="0"/>
        <v>222963.01</v>
      </c>
    </row>
    <row r="43" spans="1:5" ht="14.25">
      <c r="A43" s="39" t="s">
        <v>535</v>
      </c>
      <c r="B43" s="223">
        <v>40704.81</v>
      </c>
      <c r="C43" s="223">
        <v>37884.35</v>
      </c>
      <c r="D43" s="87"/>
      <c r="E43" s="402">
        <f t="shared" si="0"/>
        <v>-2820.459999999999</v>
      </c>
    </row>
    <row r="44" spans="1:5" ht="14.25">
      <c r="A44" s="39" t="s">
        <v>536</v>
      </c>
      <c r="B44" s="223">
        <v>2343061.51</v>
      </c>
      <c r="C44" s="223">
        <v>2640951.64</v>
      </c>
      <c r="D44" s="87"/>
      <c r="E44" s="402">
        <f t="shared" si="0"/>
        <v>297890.13000000035</v>
      </c>
    </row>
    <row r="45" spans="1:5" ht="14.25">
      <c r="A45" s="39" t="s">
        <v>537</v>
      </c>
      <c r="B45" s="223">
        <v>798831.29</v>
      </c>
      <c r="C45" s="223">
        <v>852379.97</v>
      </c>
      <c r="D45" s="87"/>
      <c r="E45" s="402">
        <f t="shared" si="0"/>
        <v>53548.679999999935</v>
      </c>
    </row>
    <row r="46" spans="1:5" ht="14.25">
      <c r="A46" s="39" t="s">
        <v>538</v>
      </c>
      <c r="B46" s="223">
        <f>B40-B41-B42-B43-B44-B45</f>
        <v>3266.6100000003353</v>
      </c>
      <c r="C46" s="223">
        <f>C40-C41-C42-C43-C44-C45</f>
        <v>516.170000000624</v>
      </c>
      <c r="D46" s="87"/>
      <c r="E46" s="402">
        <f t="shared" si="0"/>
        <v>-2750.4399999997113</v>
      </c>
    </row>
    <row r="47" spans="2:5" ht="14.25">
      <c r="B47" s="87"/>
      <c r="C47" s="87"/>
      <c r="D47" s="87"/>
      <c r="E47" s="402"/>
    </row>
    <row r="48" spans="1:5" ht="14.25">
      <c r="A48" s="401" t="s">
        <v>539</v>
      </c>
      <c r="B48" s="223">
        <f>1203841.8+272132.8</f>
        <v>1475974.6</v>
      </c>
      <c r="C48" s="223">
        <f>1128059+299356.6</f>
        <v>1427415.6</v>
      </c>
      <c r="D48" s="87"/>
      <c r="E48" s="402">
        <f t="shared" si="0"/>
        <v>-48559</v>
      </c>
    </row>
    <row r="49" spans="1:5" ht="14.25" customHeight="1">
      <c r="A49" s="579" t="s">
        <v>540</v>
      </c>
      <c r="B49" s="223">
        <f>B48+B40</f>
        <v>5609703.390000001</v>
      </c>
      <c r="C49" s="223">
        <v>6217342.33</v>
      </c>
      <c r="D49" s="87"/>
      <c r="E49" s="402">
        <f t="shared" si="0"/>
        <v>607638.9399999995</v>
      </c>
    </row>
    <row r="50" spans="1:5" ht="14.25">
      <c r="A50" s="579"/>
      <c r="B50" s="223"/>
      <c r="C50" s="223"/>
      <c r="D50" s="87"/>
      <c r="E50" s="87"/>
    </row>
    <row r="51" spans="2:6" ht="14.25">
      <c r="B51" s="39">
        <v>2008</v>
      </c>
      <c r="C51" s="39">
        <v>2009</v>
      </c>
      <c r="D51" s="87"/>
      <c r="E51" s="87"/>
      <c r="F51" s="87" t="s">
        <v>542</v>
      </c>
    </row>
    <row r="52" spans="1:6" ht="14.25">
      <c r="A52" s="39" t="s">
        <v>413</v>
      </c>
      <c r="B52" s="292">
        <v>4965253.75</v>
      </c>
      <c r="C52" s="292">
        <v>5790047.27</v>
      </c>
      <c r="E52" s="223">
        <f>B52-C52</f>
        <v>-824793.5199999996</v>
      </c>
      <c r="F52" s="87">
        <v>44100.00000000023</v>
      </c>
    </row>
    <row r="53" spans="1:5" ht="14.25">
      <c r="A53" s="39" t="s">
        <v>315</v>
      </c>
      <c r="B53" s="223">
        <v>45108488.25</v>
      </c>
      <c r="C53" s="223">
        <f>B4</f>
        <v>45423757.39</v>
      </c>
      <c r="E53" s="223"/>
    </row>
    <row r="54" spans="1:3" ht="14.25">
      <c r="A54" s="39" t="s">
        <v>414</v>
      </c>
      <c r="B54" s="293">
        <f>B52/B53%</f>
        <v>11.007360128057494</v>
      </c>
      <c r="C54" s="293">
        <f>C52/C53%</f>
        <v>12.746737836519603</v>
      </c>
    </row>
  </sheetData>
  <mergeCells count="1">
    <mergeCell ref="A49:A50"/>
  </mergeCells>
  <printOptions/>
  <pageMargins left="0.42" right="0.2" top="0.22" bottom="0.34" header="0.17" footer="0.3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F90" sqref="F90"/>
    </sheetView>
  </sheetViews>
  <sheetFormatPr defaultColWidth="9.00390625" defaultRowHeight="12.75"/>
  <cols>
    <col min="1" max="1" width="5.75390625" style="15" customWidth="1"/>
    <col min="2" max="2" width="38.875" style="509" customWidth="1"/>
    <col min="3" max="4" width="16.625" style="15" customWidth="1"/>
    <col min="5" max="5" width="8.00390625" style="15" customWidth="1"/>
    <col min="6" max="6" width="9.125" style="15" customWidth="1"/>
    <col min="7" max="7" width="12.625" style="15" bestFit="1" customWidth="1"/>
    <col min="8" max="8" width="10.625" style="15" bestFit="1" customWidth="1"/>
    <col min="9" max="16384" width="9.125" style="15" customWidth="1"/>
  </cols>
  <sheetData>
    <row r="1" spans="1:5" ht="16.5">
      <c r="A1" s="580" t="s">
        <v>577</v>
      </c>
      <c r="B1" s="580"/>
      <c r="C1" s="580"/>
      <c r="D1" s="580"/>
      <c r="E1" s="580"/>
    </row>
    <row r="3" spans="1:5" ht="33">
      <c r="A3" s="460" t="s">
        <v>21</v>
      </c>
      <c r="B3" s="501" t="s">
        <v>2</v>
      </c>
      <c r="C3" s="461" t="s">
        <v>238</v>
      </c>
      <c r="D3" s="462" t="s">
        <v>239</v>
      </c>
      <c r="E3" s="463" t="s">
        <v>234</v>
      </c>
    </row>
    <row r="4" spans="1:5" ht="16.5">
      <c r="A4" s="464">
        <v>801</v>
      </c>
      <c r="B4" s="502" t="s">
        <v>9</v>
      </c>
      <c r="C4" s="465">
        <v>20586926.950000003</v>
      </c>
      <c r="D4" s="466">
        <v>19740411.25</v>
      </c>
      <c r="E4" s="467">
        <v>95.8880910101058</v>
      </c>
    </row>
    <row r="5" spans="1:5" ht="16.5">
      <c r="A5" s="468">
        <v>80101</v>
      </c>
      <c r="B5" s="503" t="s">
        <v>42</v>
      </c>
      <c r="C5" s="469">
        <v>10155455.22</v>
      </c>
      <c r="D5" s="470">
        <v>9832366.08</v>
      </c>
      <c r="E5" s="471">
        <v>96.8185656575619</v>
      </c>
    </row>
    <row r="6" spans="1:5" ht="16.5">
      <c r="A6" s="468"/>
      <c r="B6" s="503" t="s">
        <v>70</v>
      </c>
      <c r="C6" s="469">
        <v>9483644.47</v>
      </c>
      <c r="D6" s="470">
        <v>9185716.829999998</v>
      </c>
      <c r="E6" s="471">
        <v>96.85851108250158</v>
      </c>
    </row>
    <row r="7" spans="1:5" ht="16.5">
      <c r="A7" s="468"/>
      <c r="B7" s="503" t="s">
        <v>75</v>
      </c>
      <c r="C7" s="472">
        <v>7137603.44</v>
      </c>
      <c r="D7" s="473">
        <v>6974455.819999999</v>
      </c>
      <c r="E7" s="471">
        <v>97.7142521103694</v>
      </c>
    </row>
    <row r="8" spans="1:5" ht="16.5">
      <c r="A8" s="468"/>
      <c r="B8" s="503" t="s">
        <v>76</v>
      </c>
      <c r="C8" s="472">
        <v>2346041.03</v>
      </c>
      <c r="D8" s="473">
        <v>2211261.01</v>
      </c>
      <c r="E8" s="471">
        <v>94.25500158452044</v>
      </c>
    </row>
    <row r="9" spans="1:5" ht="16.5">
      <c r="A9" s="474"/>
      <c r="B9" s="504" t="s">
        <v>56</v>
      </c>
      <c r="C9" s="472">
        <v>671810.75</v>
      </c>
      <c r="D9" s="473">
        <v>646649.25</v>
      </c>
      <c r="E9" s="471">
        <v>96.25467440049152</v>
      </c>
    </row>
    <row r="10" spans="1:5" ht="33">
      <c r="A10" s="468">
        <v>80103</v>
      </c>
      <c r="B10" s="503" t="s">
        <v>167</v>
      </c>
      <c r="C10" s="472">
        <v>588892.12</v>
      </c>
      <c r="D10" s="473">
        <v>559799.43</v>
      </c>
      <c r="E10" s="471">
        <v>95.05975899286953</v>
      </c>
    </row>
    <row r="11" spans="1:5" ht="16.5">
      <c r="A11" s="468"/>
      <c r="B11" s="503" t="s">
        <v>70</v>
      </c>
      <c r="C11" s="472">
        <v>588892.12</v>
      </c>
      <c r="D11" s="473">
        <v>559799.43</v>
      </c>
      <c r="E11" s="471">
        <v>95.05975899286953</v>
      </c>
    </row>
    <row r="12" spans="1:5" ht="16.5">
      <c r="A12" s="468"/>
      <c r="B12" s="503" t="s">
        <v>75</v>
      </c>
      <c r="C12" s="472">
        <v>463100</v>
      </c>
      <c r="D12" s="473">
        <v>446575.41</v>
      </c>
      <c r="E12" s="471">
        <v>96.43174476355</v>
      </c>
    </row>
    <row r="13" spans="1:5" ht="16.5">
      <c r="A13" s="468"/>
      <c r="B13" s="503" t="s">
        <v>76</v>
      </c>
      <c r="C13" s="472">
        <v>125792.12</v>
      </c>
      <c r="D13" s="473">
        <v>113224.02</v>
      </c>
      <c r="E13" s="471">
        <v>90.00883362169269</v>
      </c>
    </row>
    <row r="14" spans="1:5" ht="16.5">
      <c r="A14" s="468">
        <v>80104</v>
      </c>
      <c r="B14" s="503" t="s">
        <v>164</v>
      </c>
      <c r="C14" s="469">
        <v>2749107.34</v>
      </c>
      <c r="D14" s="470">
        <v>2338634.46</v>
      </c>
      <c r="E14" s="471">
        <v>85.06886675439891</v>
      </c>
    </row>
    <row r="15" spans="1:5" ht="16.5">
      <c r="A15" s="468"/>
      <c r="B15" s="503" t="s">
        <v>296</v>
      </c>
      <c r="C15" s="469">
        <v>1322107.34</v>
      </c>
      <c r="D15" s="470">
        <v>1241731.14</v>
      </c>
      <c r="E15" s="471">
        <v>93.92059951803911</v>
      </c>
    </row>
    <row r="16" spans="1:5" ht="16.5">
      <c r="A16" s="468"/>
      <c r="B16" s="504" t="s">
        <v>56</v>
      </c>
      <c r="C16" s="469">
        <v>1427000</v>
      </c>
      <c r="D16" s="470">
        <v>1096903.32</v>
      </c>
      <c r="E16" s="471">
        <v>76.86778696566223</v>
      </c>
    </row>
    <row r="17" spans="1:5" ht="16.5">
      <c r="A17" s="468">
        <v>80110</v>
      </c>
      <c r="B17" s="503" t="s">
        <v>43</v>
      </c>
      <c r="C17" s="469">
        <v>3682149.01</v>
      </c>
      <c r="D17" s="470">
        <v>3645968.46</v>
      </c>
      <c r="E17" s="471">
        <v>99.01740668555945</v>
      </c>
    </row>
    <row r="18" spans="1:5" ht="16.5">
      <c r="A18" s="468"/>
      <c r="B18" s="503" t="s">
        <v>23</v>
      </c>
      <c r="C18" s="469">
        <v>3682149.01</v>
      </c>
      <c r="D18" s="470">
        <v>3645968.46</v>
      </c>
      <c r="E18" s="471">
        <v>99.01740668555945</v>
      </c>
    </row>
    <row r="19" spans="1:5" ht="16.5">
      <c r="A19" s="468"/>
      <c r="B19" s="503" t="s">
        <v>75</v>
      </c>
      <c r="C19" s="472">
        <v>3167694</v>
      </c>
      <c r="D19" s="473">
        <v>3139941.47</v>
      </c>
      <c r="E19" s="471">
        <v>99.12388854479002</v>
      </c>
    </row>
    <row r="20" spans="1:5" ht="16.5">
      <c r="A20" s="468"/>
      <c r="B20" s="503" t="s">
        <v>76</v>
      </c>
      <c r="C20" s="472">
        <v>514455.01</v>
      </c>
      <c r="D20" s="473">
        <v>506026.99</v>
      </c>
      <c r="E20" s="471">
        <v>98.36175761997147</v>
      </c>
    </row>
    <row r="21" spans="1:5" ht="16.5">
      <c r="A21" s="468">
        <v>80113</v>
      </c>
      <c r="B21" s="503" t="s">
        <v>44</v>
      </c>
      <c r="C21" s="469">
        <v>432029</v>
      </c>
      <c r="D21" s="470">
        <v>417121.13</v>
      </c>
      <c r="E21" s="471">
        <v>96.54933580847583</v>
      </c>
    </row>
    <row r="22" spans="1:5" ht="16.5">
      <c r="A22" s="468"/>
      <c r="B22" s="503" t="s">
        <v>23</v>
      </c>
      <c r="C22" s="469">
        <v>432029</v>
      </c>
      <c r="D22" s="470">
        <v>417121.13</v>
      </c>
      <c r="E22" s="471">
        <v>96.54933580847583</v>
      </c>
    </row>
    <row r="23" spans="1:5" ht="16.5">
      <c r="A23" s="468"/>
      <c r="B23" s="503" t="s">
        <v>75</v>
      </c>
      <c r="C23" s="472">
        <v>50660</v>
      </c>
      <c r="D23" s="473">
        <v>47889.15</v>
      </c>
      <c r="E23" s="471">
        <v>94.5304974338729</v>
      </c>
    </row>
    <row r="24" spans="1:5" ht="16.5">
      <c r="A24" s="468"/>
      <c r="B24" s="503" t="s">
        <v>76</v>
      </c>
      <c r="C24" s="472">
        <v>381369</v>
      </c>
      <c r="D24" s="473">
        <v>369231.98</v>
      </c>
      <c r="E24" s="471">
        <v>96.81751269767601</v>
      </c>
    </row>
    <row r="25" spans="1:5" ht="16.5">
      <c r="A25" s="474">
        <v>80146</v>
      </c>
      <c r="B25" s="504" t="s">
        <v>87</v>
      </c>
      <c r="C25" s="475">
        <v>75760</v>
      </c>
      <c r="D25" s="476">
        <v>57598.15</v>
      </c>
      <c r="E25" s="471">
        <v>76.02712513199577</v>
      </c>
    </row>
    <row r="26" spans="1:5" ht="16.5">
      <c r="A26" s="474"/>
      <c r="B26" s="504" t="s">
        <v>23</v>
      </c>
      <c r="C26" s="475">
        <v>75760</v>
      </c>
      <c r="D26" s="476">
        <v>57598.15</v>
      </c>
      <c r="E26" s="471">
        <v>76.02712513199577</v>
      </c>
    </row>
    <row r="27" spans="1:5" ht="16.5">
      <c r="A27" s="474"/>
      <c r="B27" s="504" t="s">
        <v>75</v>
      </c>
      <c r="C27" s="475">
        <v>18327</v>
      </c>
      <c r="D27" s="476">
        <v>14693.54</v>
      </c>
      <c r="E27" s="471">
        <v>80.17427838707917</v>
      </c>
    </row>
    <row r="28" spans="1:5" ht="16.5">
      <c r="A28" s="474"/>
      <c r="B28" s="503" t="s">
        <v>76</v>
      </c>
      <c r="C28" s="475">
        <v>57433</v>
      </c>
      <c r="D28" s="476">
        <v>42904.61</v>
      </c>
      <c r="E28" s="471">
        <v>74.70375916285062</v>
      </c>
    </row>
    <row r="29" spans="1:5" ht="16.5">
      <c r="A29" s="474">
        <v>80148</v>
      </c>
      <c r="B29" s="503" t="s">
        <v>450</v>
      </c>
      <c r="C29" s="475">
        <v>516234</v>
      </c>
      <c r="D29" s="476">
        <v>506832.91</v>
      </c>
      <c r="E29" s="471">
        <v>98.17890917684616</v>
      </c>
    </row>
    <row r="30" spans="1:5" ht="16.5">
      <c r="A30" s="474"/>
      <c r="B30" s="504" t="s">
        <v>23</v>
      </c>
      <c r="C30" s="475">
        <v>516234</v>
      </c>
      <c r="D30" s="476">
        <v>506832.91</v>
      </c>
      <c r="E30" s="471">
        <v>98.17890917684616</v>
      </c>
    </row>
    <row r="31" spans="1:5" ht="16.5">
      <c r="A31" s="474"/>
      <c r="B31" s="504" t="s">
        <v>75</v>
      </c>
      <c r="C31" s="475">
        <v>413352</v>
      </c>
      <c r="D31" s="476">
        <v>409982.72</v>
      </c>
      <c r="E31" s="471">
        <v>99.18488842439373</v>
      </c>
    </row>
    <row r="32" spans="1:5" ht="16.5">
      <c r="A32" s="474"/>
      <c r="B32" s="503" t="s">
        <v>76</v>
      </c>
      <c r="C32" s="475">
        <v>102882</v>
      </c>
      <c r="D32" s="476">
        <v>96850.19</v>
      </c>
      <c r="E32" s="471">
        <v>94.13715713147101</v>
      </c>
    </row>
    <row r="33" spans="1:5" ht="16.5">
      <c r="A33" s="468">
        <v>80195</v>
      </c>
      <c r="B33" s="503" t="s">
        <v>78</v>
      </c>
      <c r="C33" s="469">
        <v>2387300.26</v>
      </c>
      <c r="D33" s="470">
        <v>2382090.63</v>
      </c>
      <c r="E33" s="471">
        <v>99.781777345427</v>
      </c>
    </row>
    <row r="34" spans="1:5" ht="16.5">
      <c r="A34" s="468"/>
      <c r="B34" s="503" t="s">
        <v>23</v>
      </c>
      <c r="C34" s="469">
        <v>2335800.26</v>
      </c>
      <c r="D34" s="470">
        <v>2330595.41</v>
      </c>
      <c r="E34" s="471">
        <v>99.77717058735149</v>
      </c>
    </row>
    <row r="35" spans="1:5" ht="16.5">
      <c r="A35" s="468"/>
      <c r="B35" s="503" t="s">
        <v>296</v>
      </c>
      <c r="C35" s="469">
        <v>43558.42</v>
      </c>
      <c r="D35" s="470">
        <v>43488.37</v>
      </c>
      <c r="E35" s="471">
        <v>99.83918149464559</v>
      </c>
    </row>
    <row r="36" spans="1:5" ht="16.5">
      <c r="A36" s="468"/>
      <c r="B36" s="503" t="s">
        <v>74</v>
      </c>
      <c r="C36" s="469">
        <v>1147800.77</v>
      </c>
      <c r="D36" s="470">
        <v>1146036.13</v>
      </c>
      <c r="E36" s="471">
        <v>99.84625903326412</v>
      </c>
    </row>
    <row r="37" spans="1:5" ht="16.5">
      <c r="A37" s="468"/>
      <c r="B37" s="503" t="s">
        <v>76</v>
      </c>
      <c r="C37" s="469">
        <v>1144441.07</v>
      </c>
      <c r="D37" s="470">
        <v>1141070.91</v>
      </c>
      <c r="E37" s="471">
        <v>99.70551913171029</v>
      </c>
    </row>
    <row r="38" spans="1:5" ht="16.5">
      <c r="A38" s="477"/>
      <c r="B38" s="505" t="s">
        <v>56</v>
      </c>
      <c r="C38" s="478">
        <v>51500</v>
      </c>
      <c r="D38" s="479">
        <v>51495.22</v>
      </c>
      <c r="E38" s="480">
        <v>99.99071844660195</v>
      </c>
    </row>
    <row r="39" spans="1:5" ht="16.5">
      <c r="A39" s="464">
        <v>854</v>
      </c>
      <c r="B39" s="502" t="s">
        <v>53</v>
      </c>
      <c r="C39" s="481">
        <v>566188</v>
      </c>
      <c r="D39" s="482">
        <v>535264.58</v>
      </c>
      <c r="E39" s="483">
        <v>94.53831236267811</v>
      </c>
    </row>
    <row r="40" spans="1:5" ht="16.5">
      <c r="A40" s="468">
        <v>85401</v>
      </c>
      <c r="B40" s="503" t="s">
        <v>54</v>
      </c>
      <c r="C40" s="484">
        <v>241752</v>
      </c>
      <c r="D40" s="485">
        <v>235504.1</v>
      </c>
      <c r="E40" s="486">
        <v>97.41557463847249</v>
      </c>
    </row>
    <row r="41" spans="1:5" ht="16.5">
      <c r="A41" s="468"/>
      <c r="B41" s="503" t="s">
        <v>23</v>
      </c>
      <c r="C41" s="484">
        <v>241752</v>
      </c>
      <c r="D41" s="485">
        <v>235504.1</v>
      </c>
      <c r="E41" s="486">
        <v>97.41557463847249</v>
      </c>
    </row>
    <row r="42" spans="1:5" ht="16.5">
      <c r="A42" s="468"/>
      <c r="B42" s="503" t="s">
        <v>71</v>
      </c>
      <c r="C42" s="487">
        <v>207459.23</v>
      </c>
      <c r="D42" s="487">
        <v>206577.17</v>
      </c>
      <c r="E42" s="486">
        <v>99.57482730462272</v>
      </c>
    </row>
    <row r="43" spans="1:5" ht="16.5">
      <c r="A43" s="468"/>
      <c r="B43" s="503" t="s">
        <v>72</v>
      </c>
      <c r="C43" s="487">
        <v>34292.77</v>
      </c>
      <c r="D43" s="487">
        <v>28926.93</v>
      </c>
      <c r="E43" s="486">
        <v>84.35285338571366</v>
      </c>
    </row>
    <row r="44" spans="1:5" ht="16.5">
      <c r="A44" s="468">
        <v>85415</v>
      </c>
      <c r="B44" s="503" t="s">
        <v>193</v>
      </c>
      <c r="C44" s="487">
        <v>322996</v>
      </c>
      <c r="D44" s="487">
        <v>299760.48</v>
      </c>
      <c r="E44" s="486">
        <v>92.80625147060644</v>
      </c>
    </row>
    <row r="45" spans="1:5" ht="16.5">
      <c r="A45" s="468"/>
      <c r="B45" s="503" t="s">
        <v>23</v>
      </c>
      <c r="C45" s="487">
        <v>322996</v>
      </c>
      <c r="D45" s="487">
        <v>299760.48</v>
      </c>
      <c r="E45" s="486">
        <v>92.80625147060644</v>
      </c>
    </row>
    <row r="46" spans="1:5" ht="16.5">
      <c r="A46" s="474">
        <v>85446</v>
      </c>
      <c r="B46" s="504" t="s">
        <v>87</v>
      </c>
      <c r="C46" s="488">
        <v>1440</v>
      </c>
      <c r="D46" s="475">
        <v>0</v>
      </c>
      <c r="E46" s="486">
        <v>0</v>
      </c>
    </row>
    <row r="47" spans="1:5" ht="16.5">
      <c r="A47" s="477"/>
      <c r="B47" s="505" t="s">
        <v>23</v>
      </c>
      <c r="C47" s="489">
        <v>1440</v>
      </c>
      <c r="D47" s="489">
        <v>0</v>
      </c>
      <c r="E47" s="490">
        <v>0</v>
      </c>
    </row>
    <row r="48" spans="1:5" s="16" customFormat="1" ht="16.5">
      <c r="A48" s="491"/>
      <c r="B48" s="506"/>
      <c r="C48" s="492">
        <f>C39+C4</f>
        <v>21153114.950000003</v>
      </c>
      <c r="D48" s="492">
        <f>D39+D4</f>
        <v>20275675.83</v>
      </c>
      <c r="E48" s="493">
        <f>D48/C48%</f>
        <v>95.85196259712093</v>
      </c>
    </row>
    <row r="50" ht="16.5">
      <c r="E50" s="517" t="s">
        <v>578</v>
      </c>
    </row>
    <row r="51" spans="1:5" ht="16.5">
      <c r="A51" s="15" t="s">
        <v>579</v>
      </c>
      <c r="C51" s="15" t="s">
        <v>238</v>
      </c>
      <c r="D51" s="15" t="s">
        <v>239</v>
      </c>
      <c r="E51" s="510" t="s">
        <v>234</v>
      </c>
    </row>
    <row r="52" spans="1:5" ht="16.5">
      <c r="A52" s="494"/>
      <c r="B52" s="507" t="s">
        <v>576</v>
      </c>
      <c r="C52" s="495">
        <f>C15+C35</f>
        <v>1365665.76</v>
      </c>
      <c r="D52" s="511">
        <f>D15+D35</f>
        <v>1285219.51</v>
      </c>
      <c r="E52" s="514">
        <f>D52/20275675.83%</f>
        <v>6.338725874174721</v>
      </c>
    </row>
    <row r="53" spans="1:5" ht="16.5">
      <c r="A53" s="496"/>
      <c r="B53" s="503" t="s">
        <v>70</v>
      </c>
      <c r="C53" s="497">
        <f>C6+C11+C18+C22+C26+C30+C34+C41+C45+C47-C35</f>
        <v>17637138.439999998</v>
      </c>
      <c r="D53" s="512">
        <f>D6+D11+D18+D22+D26+D30+D34+D41+D45+D47-D35</f>
        <v>17195408.53</v>
      </c>
      <c r="E53" s="515">
        <f>D53/20275675.83%</f>
        <v>84.80806595140756</v>
      </c>
    </row>
    <row r="54" spans="1:5" ht="16.5">
      <c r="A54" s="496"/>
      <c r="B54" s="503" t="s">
        <v>75</v>
      </c>
      <c r="C54" s="497">
        <f>C7+C12+C19+C23+C27+C31+C36+C42</f>
        <v>12605996.440000001</v>
      </c>
      <c r="D54" s="512">
        <f>D7+D12+D19+D23+D27+D31+D36+D42</f>
        <v>12386151.409999998</v>
      </c>
      <c r="E54" s="515">
        <f>D54/20275675.83%</f>
        <v>61.088722831489456</v>
      </c>
    </row>
    <row r="55" spans="1:5" ht="16.5">
      <c r="A55" s="496"/>
      <c r="B55" s="503" t="s">
        <v>76</v>
      </c>
      <c r="C55" s="497">
        <f>C13+C20+C24+C28+C32+C37+C43+C45+C47</f>
        <v>2685100.97</v>
      </c>
      <c r="D55" s="512">
        <f>D13+D20+D24+D28+D32+D37+D43+D45+D47</f>
        <v>2597996.1100000003</v>
      </c>
      <c r="E55" s="515">
        <f>D55/20275675.83%</f>
        <v>12.813363814763656</v>
      </c>
    </row>
    <row r="56" spans="1:5" ht="16.5">
      <c r="A56" s="498"/>
      <c r="B56" s="508" t="s">
        <v>56</v>
      </c>
      <c r="C56" s="499">
        <f>C9+C16+C38</f>
        <v>2150310.75</v>
      </c>
      <c r="D56" s="513">
        <f>D9+D16+D38</f>
        <v>1795047.79</v>
      </c>
      <c r="E56" s="516">
        <f>D56/20275675.83%</f>
        <v>8.85320817441773</v>
      </c>
    </row>
    <row r="57" spans="3:5" ht="16.5">
      <c r="C57" s="518">
        <f>C52+C53+C56</f>
        <v>21153114.95</v>
      </c>
      <c r="D57" s="518">
        <f>D52+D53+D56</f>
        <v>20275675.830000002</v>
      </c>
      <c r="E57" s="500"/>
    </row>
    <row r="58" spans="3:5" ht="16.5">
      <c r="C58" s="500"/>
      <c r="D58" s="500"/>
      <c r="E58" s="500"/>
    </row>
    <row r="59" spans="1:5" ht="16.5">
      <c r="A59" s="3"/>
      <c r="B59" s="2" t="s">
        <v>594</v>
      </c>
      <c r="C59" s="326" t="s">
        <v>429</v>
      </c>
      <c r="D59" s="326" t="s">
        <v>239</v>
      </c>
      <c r="E59" s="3"/>
    </row>
    <row r="60" spans="1:5" ht="16.5">
      <c r="A60" s="519">
        <v>801</v>
      </c>
      <c r="B60" s="520" t="s">
        <v>9</v>
      </c>
      <c r="C60" s="522">
        <f>C61+C76+C79</f>
        <v>2150310.75</v>
      </c>
      <c r="D60" s="526">
        <f>D61+D76+D79</f>
        <v>1795047.7899999998</v>
      </c>
      <c r="E60" s="3"/>
    </row>
    <row r="61" spans="1:5" ht="16.5">
      <c r="A61" s="81">
        <v>80101</v>
      </c>
      <c r="B61" s="83" t="s">
        <v>42</v>
      </c>
      <c r="C61" s="523">
        <f>C63+C64+C66+C67+C68+C69+C73+C75+C74</f>
        <v>671810.75</v>
      </c>
      <c r="D61" s="527">
        <f>D63+D64+D66+D67+D68+D69+D73+D75+D74</f>
        <v>646649.2500000001</v>
      </c>
      <c r="E61" s="3"/>
    </row>
    <row r="62" spans="1:5" ht="16.5">
      <c r="A62" s="81"/>
      <c r="B62" s="83" t="s">
        <v>580</v>
      </c>
      <c r="C62" s="524">
        <f>275000-70000-205000</f>
        <v>0</v>
      </c>
      <c r="D62" s="528"/>
      <c r="E62" s="3"/>
    </row>
    <row r="63" spans="1:5" ht="25.5">
      <c r="A63" s="81"/>
      <c r="B63" s="83" t="s">
        <v>591</v>
      </c>
      <c r="C63" s="524">
        <v>75000</v>
      </c>
      <c r="D63" s="528">
        <f>73867.54+1110.2</f>
        <v>74977.73999999999</v>
      </c>
      <c r="E63" s="3"/>
    </row>
    <row r="64" spans="1:5" ht="16.5">
      <c r="A64" s="81"/>
      <c r="B64" s="521" t="s">
        <v>581</v>
      </c>
      <c r="C64" s="524">
        <f>95000-30000</f>
        <v>65000</v>
      </c>
      <c r="D64" s="528">
        <f>31006.48+28483.1</f>
        <v>59489.58</v>
      </c>
      <c r="E64" s="3"/>
    </row>
    <row r="65" spans="1:5" ht="16.5">
      <c r="A65" s="81"/>
      <c r="B65" s="83" t="s">
        <v>582</v>
      </c>
      <c r="C65" s="524">
        <f>25000+120000-20000-125000</f>
        <v>0</v>
      </c>
      <c r="D65" s="528"/>
      <c r="E65" s="3"/>
    </row>
    <row r="66" spans="1:5" ht="16.5">
      <c r="A66" s="81"/>
      <c r="B66" s="83" t="s">
        <v>583</v>
      </c>
      <c r="C66" s="524">
        <v>9000</v>
      </c>
      <c r="D66" s="528">
        <f>9000</f>
        <v>9000</v>
      </c>
      <c r="E66" s="3"/>
    </row>
    <row r="67" spans="1:5" ht="16.5">
      <c r="A67" s="81"/>
      <c r="B67" s="83" t="s">
        <v>584</v>
      </c>
      <c r="C67" s="524">
        <v>8000</v>
      </c>
      <c r="D67" s="528">
        <v>8000</v>
      </c>
      <c r="E67" s="3"/>
    </row>
    <row r="68" spans="1:5" ht="16.5">
      <c r="A68" s="81"/>
      <c r="B68" s="83" t="s">
        <v>585</v>
      </c>
      <c r="C68" s="524">
        <f>90000-53720.25-36279</f>
        <v>0.75</v>
      </c>
      <c r="D68" s="528"/>
      <c r="E68" s="3"/>
    </row>
    <row r="69" spans="1:5" ht="25.5">
      <c r="A69" s="81"/>
      <c r="B69" s="83" t="s">
        <v>592</v>
      </c>
      <c r="C69" s="524">
        <v>470000</v>
      </c>
      <c r="D69" s="528">
        <f>94976.11+36194.45+52782.62+157796.87+114416.02+5412.44+9-18</f>
        <v>461569.51</v>
      </c>
      <c r="E69" s="3"/>
    </row>
    <row r="70" spans="1:8" ht="16.5">
      <c r="A70" s="81"/>
      <c r="B70" s="83" t="s">
        <v>596</v>
      </c>
      <c r="C70" s="524"/>
      <c r="D70" s="528">
        <f>94967+1126.6</f>
        <v>96093.6</v>
      </c>
      <c r="E70" s="533"/>
      <c r="G70" s="500"/>
      <c r="H70" s="500"/>
    </row>
    <row r="71" spans="1:5" ht="16.5">
      <c r="A71" s="81"/>
      <c r="B71" s="83" t="s">
        <v>597</v>
      </c>
      <c r="C71" s="524"/>
      <c r="D71" s="528">
        <f>150611+1786.7</f>
        <v>152397.7</v>
      </c>
      <c r="E71" s="533"/>
    </row>
    <row r="72" spans="1:5" ht="16.5">
      <c r="A72" s="81"/>
      <c r="B72" s="83" t="s">
        <v>598</v>
      </c>
      <c r="C72" s="524"/>
      <c r="D72" s="528">
        <f>210580+2498.21</f>
        <v>213078.21</v>
      </c>
      <c r="E72" s="533"/>
    </row>
    <row r="73" spans="1:5" ht="16.5">
      <c r="A73" s="81">
        <v>6060</v>
      </c>
      <c r="B73" s="83" t="s">
        <v>589</v>
      </c>
      <c r="C73" s="524">
        <f>26000</f>
        <v>26000</v>
      </c>
      <c r="D73" s="528">
        <f>15347.8</f>
        <v>15347.8</v>
      </c>
      <c r="E73" s="3"/>
    </row>
    <row r="74" spans="1:5" ht="16.5">
      <c r="A74" s="81">
        <v>6060</v>
      </c>
      <c r="B74" s="83" t="s">
        <v>590</v>
      </c>
      <c r="C74" s="524">
        <f>12810</f>
        <v>12810</v>
      </c>
      <c r="D74" s="528">
        <f>12810</f>
        <v>12810</v>
      </c>
      <c r="E74" s="3"/>
    </row>
    <row r="75" spans="1:5" ht="16.5">
      <c r="A75" s="81">
        <v>6060</v>
      </c>
      <c r="B75" s="83" t="s">
        <v>586</v>
      </c>
      <c r="C75" s="524">
        <v>6000</v>
      </c>
      <c r="D75" s="528">
        <v>5454.62</v>
      </c>
      <c r="E75" s="3"/>
    </row>
    <row r="76" spans="1:5" ht="16.5">
      <c r="A76" s="81">
        <v>80104</v>
      </c>
      <c r="B76" s="83" t="s">
        <v>164</v>
      </c>
      <c r="C76" s="523">
        <f>C77+C78</f>
        <v>1427000</v>
      </c>
      <c r="D76" s="527">
        <f>D77+D78</f>
        <v>1096903.3199999998</v>
      </c>
      <c r="E76" s="3"/>
    </row>
    <row r="77" spans="1:5" ht="51">
      <c r="A77" s="81"/>
      <c r="B77" s="83" t="s">
        <v>587</v>
      </c>
      <c r="C77" s="523">
        <f>1400000+20000</f>
        <v>1420000</v>
      </c>
      <c r="D77" s="527">
        <f>14635.28+520.6+42922.76+43920+23854+527.77+113460+1363.45+104549.14+1029.81+721.02+1028.91+200249.58+1972.46+2751.41+10663.08+33913.89+48126.61+30933+192540.08+1381.95+2830.4+1994.72+110727.14+4197.76+7769.55+4888.63+1334.96+589.83+9210.19+73114.69+1952+758.37</f>
        <v>1090433.0399999998</v>
      </c>
      <c r="E77" s="3"/>
    </row>
    <row r="78" spans="1:5" ht="16.5">
      <c r="A78" s="81"/>
      <c r="B78" s="83" t="s">
        <v>157</v>
      </c>
      <c r="C78" s="523">
        <v>7000</v>
      </c>
      <c r="D78" s="527">
        <v>6470.28</v>
      </c>
      <c r="E78" s="3"/>
    </row>
    <row r="79" spans="1:5" ht="16.5">
      <c r="A79" s="81">
        <v>80195</v>
      </c>
      <c r="B79" s="83" t="s">
        <v>78</v>
      </c>
      <c r="C79" s="523">
        <f>C80</f>
        <v>51500</v>
      </c>
      <c r="D79" s="527">
        <f>D80</f>
        <v>51495.22</v>
      </c>
      <c r="E79" s="3"/>
    </row>
    <row r="80" spans="1:5" ht="16.5">
      <c r="A80" s="140"/>
      <c r="B80" s="152" t="s">
        <v>593</v>
      </c>
      <c r="C80" s="525">
        <f>30000+17500+4000</f>
        <v>51500</v>
      </c>
      <c r="D80" s="529">
        <v>51495.22</v>
      </c>
      <c r="E80" s="3"/>
    </row>
    <row r="82" ht="16.5">
      <c r="B82" s="2" t="s">
        <v>595</v>
      </c>
    </row>
    <row r="83" spans="2:4" ht="16.5">
      <c r="B83" s="2"/>
      <c r="C83" s="326" t="s">
        <v>429</v>
      </c>
      <c r="D83" s="326" t="s">
        <v>239</v>
      </c>
    </row>
    <row r="84" spans="1:4" ht="16.5">
      <c r="A84" s="81"/>
      <c r="B84" s="531" t="s">
        <v>588</v>
      </c>
      <c r="C84" s="532">
        <f>639720+11881.29</f>
        <v>651601.29</v>
      </c>
      <c r="D84" s="532">
        <f>54900+73200+1718.43+36600+174460+99315.17+78080+26841.58+100+106386.11</f>
        <v>651601.2899999999</v>
      </c>
    </row>
    <row r="85" spans="2:4" ht="51">
      <c r="B85" s="152" t="s">
        <v>587</v>
      </c>
      <c r="C85" s="530">
        <f>639720+11881.29</f>
        <v>651601.29</v>
      </c>
      <c r="D85" s="530">
        <f>54900+73200+1718.43+36600+174460+99315.17+78080+26841.58+100+106386.11</f>
        <v>651601.2899999999</v>
      </c>
    </row>
    <row r="87" spans="1:4" ht="16.5">
      <c r="A87" s="3"/>
      <c r="B87" s="2" t="s">
        <v>599</v>
      </c>
      <c r="C87" s="326" t="s">
        <v>429</v>
      </c>
      <c r="D87" s="326" t="s">
        <v>239</v>
      </c>
    </row>
    <row r="88" spans="1:4" ht="16.5">
      <c r="A88" s="519">
        <v>801</v>
      </c>
      <c r="B88" s="520" t="s">
        <v>9</v>
      </c>
      <c r="C88" s="522">
        <f>C89+C90+C92+C93+C91</f>
        <v>387634.68</v>
      </c>
      <c r="D88" s="526">
        <f>D89+D90+D92+D93</f>
        <v>332582.73000000004</v>
      </c>
    </row>
    <row r="89" spans="1:4" ht="16.5">
      <c r="A89" s="496"/>
      <c r="B89" s="83" t="s">
        <v>585</v>
      </c>
      <c r="C89" s="157">
        <v>53720.25</v>
      </c>
      <c r="D89" s="142">
        <v>53720.25</v>
      </c>
    </row>
    <row r="90" spans="1:4" ht="16.5">
      <c r="A90" s="536"/>
      <c r="B90" s="249" t="s">
        <v>600</v>
      </c>
      <c r="C90" s="535">
        <f>99000+26000</f>
        <v>125000</v>
      </c>
      <c r="D90" s="527">
        <f>57852.23+1085.08+32571.18+7208.77</f>
        <v>98717.26000000001</v>
      </c>
    </row>
    <row r="91" spans="1:4" ht="16.5">
      <c r="A91" s="536"/>
      <c r="B91" s="249" t="s">
        <v>602</v>
      </c>
      <c r="C91" s="535">
        <v>1000</v>
      </c>
      <c r="D91" s="527">
        <v>732.94</v>
      </c>
    </row>
    <row r="92" spans="1:4" ht="16.5">
      <c r="A92" s="536"/>
      <c r="B92" s="249" t="s">
        <v>601</v>
      </c>
      <c r="C92" s="535">
        <f>180000+26914.43</f>
        <v>206914.43</v>
      </c>
      <c r="D92" s="527">
        <f>703.77+58641.17+773.14+63822.61+20334.83+408.35+34641.35</f>
        <v>179325.22000000003</v>
      </c>
    </row>
    <row r="93" spans="1:4" ht="16.5">
      <c r="A93" s="537"/>
      <c r="B93" s="534" t="s">
        <v>598</v>
      </c>
      <c r="C93" s="538">
        <v>1000</v>
      </c>
      <c r="D93" s="530">
        <f>820</f>
        <v>820</v>
      </c>
    </row>
    <row r="94" ht="16.5">
      <c r="B94" s="15"/>
    </row>
    <row r="95" spans="1:2" ht="16.5">
      <c r="A95" s="302"/>
      <c r="B95" s="15"/>
    </row>
  </sheetData>
  <mergeCells count="1">
    <mergeCell ref="A1:E1"/>
  </mergeCells>
  <printOptions/>
  <pageMargins left="0.75" right="0.75" top="0.24" bottom="0.23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workbookViewId="0" topLeftCell="A124">
      <selection activeCell="H142" sqref="H142"/>
    </sheetView>
  </sheetViews>
  <sheetFormatPr defaultColWidth="9.00390625" defaultRowHeight="12.75"/>
  <cols>
    <col min="1" max="1" width="3.75390625" style="364" customWidth="1"/>
    <col min="2" max="2" width="7.375" style="364" customWidth="1"/>
    <col min="3" max="3" width="8.375" style="364" customWidth="1"/>
    <col min="4" max="5" width="15.75390625" style="335" customWidth="1"/>
    <col min="6" max="6" width="9.125" style="232" customWidth="1"/>
    <col min="7" max="9" width="15.625" style="232" customWidth="1"/>
    <col min="10" max="16384" width="9.125" style="232" customWidth="1"/>
  </cols>
  <sheetData>
    <row r="1" spans="1:14" ht="15.75">
      <c r="A1" s="403" t="s">
        <v>241</v>
      </c>
      <c r="B1" s="403" t="s">
        <v>243</v>
      </c>
      <c r="C1" s="403" t="s">
        <v>133</v>
      </c>
      <c r="D1" s="404">
        <v>4031553.77</v>
      </c>
      <c r="E1" s="404">
        <v>4094665.13</v>
      </c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5.75">
      <c r="A2" s="403" t="s">
        <v>241</v>
      </c>
      <c r="B2" s="403" t="s">
        <v>244</v>
      </c>
      <c r="C2" s="403" t="s">
        <v>133</v>
      </c>
      <c r="D2" s="404">
        <v>1060960</v>
      </c>
      <c r="E2" s="404">
        <v>1069801.87</v>
      </c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5.75">
      <c r="A3" s="403"/>
      <c r="B3" s="403"/>
      <c r="C3" s="403"/>
      <c r="D3" s="404"/>
      <c r="E3" s="404"/>
      <c r="F3" s="405"/>
      <c r="G3" s="405"/>
      <c r="H3" s="405"/>
      <c r="I3" s="405"/>
      <c r="J3" s="405"/>
      <c r="K3" s="405"/>
      <c r="L3" s="405"/>
      <c r="M3" s="405"/>
      <c r="N3" s="405"/>
    </row>
    <row r="4" spans="1:14" ht="15.75">
      <c r="A4" s="403" t="s">
        <v>241</v>
      </c>
      <c r="B4" s="403" t="s">
        <v>243</v>
      </c>
      <c r="C4" s="403" t="s">
        <v>135</v>
      </c>
      <c r="D4" s="404">
        <v>73500</v>
      </c>
      <c r="E4" s="404">
        <v>73874.96</v>
      </c>
      <c r="F4" s="405"/>
      <c r="G4" s="405"/>
      <c r="H4" s="405"/>
      <c r="I4" s="405"/>
      <c r="J4" s="405"/>
      <c r="K4" s="405"/>
      <c r="L4" s="405"/>
      <c r="M4" s="405"/>
      <c r="N4" s="405"/>
    </row>
    <row r="5" spans="1:14" ht="15.75">
      <c r="A5" s="403" t="s">
        <v>241</v>
      </c>
      <c r="B5" s="403" t="s">
        <v>244</v>
      </c>
      <c r="C5" s="403" t="s">
        <v>135</v>
      </c>
      <c r="D5" s="404">
        <v>275000</v>
      </c>
      <c r="E5" s="404">
        <v>278916.21</v>
      </c>
      <c r="F5" s="405"/>
      <c r="G5" s="405"/>
      <c r="H5" s="405"/>
      <c r="I5" s="405"/>
      <c r="J5" s="405"/>
      <c r="K5" s="405"/>
      <c r="L5" s="405"/>
      <c r="M5" s="405"/>
      <c r="N5" s="405"/>
    </row>
    <row r="6" spans="1:14" ht="15.75">
      <c r="A6" s="403"/>
      <c r="B6" s="403"/>
      <c r="C6" s="403"/>
      <c r="D6" s="404"/>
      <c r="E6" s="404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15.75">
      <c r="A7" s="403" t="s">
        <v>241</v>
      </c>
      <c r="B7" s="403" t="s">
        <v>243</v>
      </c>
      <c r="C7" s="403" t="s">
        <v>137</v>
      </c>
      <c r="D7" s="404">
        <v>449100</v>
      </c>
      <c r="E7" s="404">
        <v>449237</v>
      </c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5.75">
      <c r="A8" s="403" t="s">
        <v>241</v>
      </c>
      <c r="B8" s="403" t="s">
        <v>244</v>
      </c>
      <c r="C8" s="403" t="s">
        <v>137</v>
      </c>
      <c r="D8" s="404">
        <v>27700</v>
      </c>
      <c r="E8" s="404">
        <v>29253.65</v>
      </c>
      <c r="F8" s="405"/>
      <c r="G8" s="405"/>
      <c r="H8" s="405"/>
      <c r="I8" s="405"/>
      <c r="J8" s="405"/>
      <c r="K8" s="405"/>
      <c r="L8" s="405"/>
      <c r="M8" s="405"/>
      <c r="N8" s="405"/>
    </row>
    <row r="9" spans="1:14" ht="15.75">
      <c r="A9" s="403"/>
      <c r="B9" s="403"/>
      <c r="C9" s="403"/>
      <c r="D9" s="404"/>
      <c r="E9" s="404"/>
      <c r="F9" s="405"/>
      <c r="G9" s="405"/>
      <c r="H9" s="405"/>
      <c r="I9" s="405"/>
      <c r="J9" s="405"/>
      <c r="K9" s="405"/>
      <c r="L9" s="405"/>
      <c r="M9" s="405"/>
      <c r="N9" s="405"/>
    </row>
    <row r="10" spans="1:14" ht="15.75">
      <c r="A10" s="403" t="s">
        <v>241</v>
      </c>
      <c r="B10" s="403" t="s">
        <v>243</v>
      </c>
      <c r="C10" s="403" t="s">
        <v>138</v>
      </c>
      <c r="D10" s="404">
        <v>46200</v>
      </c>
      <c r="E10" s="404">
        <v>44458</v>
      </c>
      <c r="F10" s="405"/>
      <c r="G10" s="405"/>
      <c r="H10" s="405"/>
      <c r="I10" s="405"/>
      <c r="J10" s="405"/>
      <c r="K10" s="405"/>
      <c r="L10" s="405"/>
      <c r="M10" s="405"/>
      <c r="N10" s="405"/>
    </row>
    <row r="11" spans="1:14" ht="15.75">
      <c r="A11" s="403" t="s">
        <v>241</v>
      </c>
      <c r="B11" s="403" t="s">
        <v>244</v>
      </c>
      <c r="C11" s="403" t="s">
        <v>138</v>
      </c>
      <c r="D11" s="404">
        <v>186200</v>
      </c>
      <c r="E11" s="404">
        <v>189873.06</v>
      </c>
      <c r="F11" s="405"/>
      <c r="G11" s="405"/>
      <c r="H11" s="405"/>
      <c r="I11" s="405"/>
      <c r="J11" s="405"/>
      <c r="K11" s="405"/>
      <c r="L11" s="405"/>
      <c r="M11" s="405"/>
      <c r="N11" s="405"/>
    </row>
    <row r="12" spans="1:14" ht="15.75">
      <c r="A12" s="403"/>
      <c r="B12" s="403"/>
      <c r="C12" s="403"/>
      <c r="D12" s="404"/>
      <c r="E12" s="404"/>
      <c r="F12" s="405"/>
      <c r="G12" s="405"/>
      <c r="H12" s="405"/>
      <c r="I12" s="405"/>
      <c r="J12" s="405"/>
      <c r="K12" s="405"/>
      <c r="L12" s="405"/>
      <c r="M12" s="405"/>
      <c r="N12" s="405"/>
    </row>
    <row r="13" spans="1:14" ht="15.75">
      <c r="A13" s="403" t="s">
        <v>241</v>
      </c>
      <c r="B13" s="403" t="s">
        <v>245</v>
      </c>
      <c r="C13" s="403" t="s">
        <v>132</v>
      </c>
      <c r="D13" s="404">
        <v>25200</v>
      </c>
      <c r="E13" s="404">
        <v>26586.53</v>
      </c>
      <c r="F13" s="405"/>
      <c r="G13" s="405"/>
      <c r="H13" s="405"/>
      <c r="I13" s="405"/>
      <c r="J13" s="405"/>
      <c r="K13" s="405"/>
      <c r="L13" s="405"/>
      <c r="M13" s="405"/>
      <c r="N13" s="405"/>
    </row>
    <row r="14" spans="1:14" ht="15.75">
      <c r="A14" s="403"/>
      <c r="B14" s="403"/>
      <c r="C14" s="403"/>
      <c r="D14" s="404"/>
      <c r="E14" s="404"/>
      <c r="F14" s="405"/>
      <c r="G14" s="405"/>
      <c r="H14" s="405"/>
      <c r="I14" s="405"/>
      <c r="J14" s="405"/>
      <c r="K14" s="405"/>
      <c r="L14" s="405"/>
      <c r="M14" s="405"/>
      <c r="N14" s="405"/>
    </row>
    <row r="15" spans="1:14" ht="15.75">
      <c r="A15" s="403" t="s">
        <v>241</v>
      </c>
      <c r="B15" s="403" t="s">
        <v>244</v>
      </c>
      <c r="C15" s="403" t="s">
        <v>140</v>
      </c>
      <c r="D15" s="404">
        <v>7000</v>
      </c>
      <c r="E15" s="404">
        <v>7121</v>
      </c>
      <c r="F15" s="405"/>
      <c r="G15" s="405"/>
      <c r="H15" s="405"/>
      <c r="I15" s="405"/>
      <c r="J15" s="405"/>
      <c r="K15" s="405"/>
      <c r="L15" s="405"/>
      <c r="M15" s="405"/>
      <c r="N15" s="405"/>
    </row>
    <row r="16" spans="1:14" ht="15.75">
      <c r="A16" s="403"/>
      <c r="B16" s="403"/>
      <c r="C16" s="403"/>
      <c r="D16" s="404"/>
      <c r="E16" s="404"/>
      <c r="F16" s="405"/>
      <c r="G16" s="405"/>
      <c r="H16" s="405"/>
      <c r="I16" s="405"/>
      <c r="J16" s="405"/>
      <c r="K16" s="405"/>
      <c r="L16" s="405"/>
      <c r="M16" s="405"/>
      <c r="N16" s="405"/>
    </row>
    <row r="17" spans="1:14" ht="15.75">
      <c r="A17" s="403" t="s">
        <v>241</v>
      </c>
      <c r="B17" s="403" t="s">
        <v>244</v>
      </c>
      <c r="C17" s="403" t="s">
        <v>139</v>
      </c>
      <c r="D17" s="404">
        <v>36200</v>
      </c>
      <c r="E17" s="404">
        <v>37119.64</v>
      </c>
      <c r="F17" s="405"/>
      <c r="G17" s="405"/>
      <c r="H17" s="405"/>
      <c r="I17" s="405"/>
      <c r="J17" s="405"/>
      <c r="K17" s="405"/>
      <c r="L17" s="405"/>
      <c r="M17" s="405"/>
      <c r="N17" s="405"/>
    </row>
    <row r="18" spans="1:14" ht="15.75">
      <c r="A18" s="403"/>
      <c r="B18" s="403"/>
      <c r="C18" s="403"/>
      <c r="D18" s="404"/>
      <c r="E18" s="404"/>
      <c r="F18" s="405"/>
      <c r="G18" s="405"/>
      <c r="H18" s="405"/>
      <c r="I18" s="405"/>
      <c r="J18" s="405"/>
      <c r="K18" s="405"/>
      <c r="L18" s="405"/>
      <c r="M18" s="405"/>
      <c r="N18" s="405"/>
    </row>
    <row r="19" spans="1:14" ht="15.75">
      <c r="A19" s="403" t="s">
        <v>241</v>
      </c>
      <c r="B19" s="403" t="s">
        <v>243</v>
      </c>
      <c r="C19" s="403" t="s">
        <v>142</v>
      </c>
      <c r="D19" s="404">
        <v>60000</v>
      </c>
      <c r="E19" s="404">
        <v>62668</v>
      </c>
      <c r="F19" s="405"/>
      <c r="G19" s="405"/>
      <c r="H19" s="405"/>
      <c r="I19" s="405"/>
      <c r="J19" s="405"/>
      <c r="K19" s="405"/>
      <c r="L19" s="405"/>
      <c r="M19" s="405"/>
      <c r="N19" s="405"/>
    </row>
    <row r="20" spans="1:14" ht="15.75">
      <c r="A20" s="403" t="s">
        <v>241</v>
      </c>
      <c r="B20" s="403" t="s">
        <v>244</v>
      </c>
      <c r="C20" s="403" t="s">
        <v>142</v>
      </c>
      <c r="D20" s="404">
        <v>279000</v>
      </c>
      <c r="E20" s="404">
        <v>285259</v>
      </c>
      <c r="F20" s="405"/>
      <c r="G20" s="405"/>
      <c r="H20" s="405"/>
      <c r="I20" s="405"/>
      <c r="J20" s="405"/>
      <c r="K20" s="405"/>
      <c r="L20" s="405"/>
      <c r="M20" s="405"/>
      <c r="N20" s="405"/>
    </row>
    <row r="21" spans="1:14" ht="15.75">
      <c r="A21" s="403"/>
      <c r="B21" s="403"/>
      <c r="C21" s="403"/>
      <c r="D21" s="404"/>
      <c r="E21" s="404"/>
      <c r="F21" s="405"/>
      <c r="G21" s="405"/>
      <c r="H21" s="405"/>
      <c r="I21" s="405"/>
      <c r="J21" s="405"/>
      <c r="K21" s="405"/>
      <c r="L21" s="405"/>
      <c r="M21" s="405"/>
      <c r="N21" s="405"/>
    </row>
    <row r="22" spans="1:14" ht="15.75">
      <c r="A22" s="403" t="s">
        <v>241</v>
      </c>
      <c r="B22" s="403" t="s">
        <v>248</v>
      </c>
      <c r="C22" s="403" t="s">
        <v>144</v>
      </c>
      <c r="D22" s="404">
        <v>179000</v>
      </c>
      <c r="E22" s="404">
        <v>180763.01</v>
      </c>
      <c r="F22" s="405"/>
      <c r="G22" s="405"/>
      <c r="H22" s="405"/>
      <c r="I22" s="405"/>
      <c r="J22" s="405"/>
      <c r="K22" s="405"/>
      <c r="L22" s="405"/>
      <c r="M22" s="405"/>
      <c r="N22" s="405"/>
    </row>
    <row r="23" spans="1:14" ht="15.75">
      <c r="A23" s="403"/>
      <c r="B23" s="403"/>
      <c r="C23" s="403"/>
      <c r="D23" s="404"/>
      <c r="E23" s="404"/>
      <c r="F23" s="405"/>
      <c r="G23" s="405"/>
      <c r="H23" s="405"/>
      <c r="I23" s="405"/>
      <c r="J23" s="405"/>
      <c r="K23" s="405"/>
      <c r="L23" s="405"/>
      <c r="M23" s="405"/>
      <c r="N23" s="405"/>
    </row>
    <row r="24" spans="1:14" ht="15.75">
      <c r="A24" s="403" t="s">
        <v>241</v>
      </c>
      <c r="B24" s="403" t="s">
        <v>244</v>
      </c>
      <c r="C24" s="403" t="s">
        <v>141</v>
      </c>
      <c r="D24" s="404">
        <v>113000</v>
      </c>
      <c r="E24" s="404">
        <v>117322.6</v>
      </c>
      <c r="F24" s="405"/>
      <c r="G24" s="405"/>
      <c r="H24" s="405"/>
      <c r="I24" s="405"/>
      <c r="J24" s="405"/>
      <c r="K24" s="405"/>
      <c r="L24" s="405"/>
      <c r="M24" s="405"/>
      <c r="N24" s="405"/>
    </row>
    <row r="25" spans="1:14" ht="15.75">
      <c r="A25" s="232"/>
      <c r="B25" s="232"/>
      <c r="C25" s="232"/>
      <c r="D25" s="232"/>
      <c r="E25" s="232"/>
      <c r="F25" s="405"/>
      <c r="G25" s="405"/>
      <c r="H25" s="405"/>
      <c r="I25" s="405"/>
      <c r="J25" s="405"/>
      <c r="K25" s="405"/>
      <c r="L25" s="405"/>
      <c r="M25" s="405"/>
      <c r="N25" s="405"/>
    </row>
    <row r="26" spans="1:14" ht="15.75">
      <c r="A26" s="403" t="s">
        <v>241</v>
      </c>
      <c r="B26" s="403" t="s">
        <v>243</v>
      </c>
      <c r="C26" s="403" t="s">
        <v>159</v>
      </c>
      <c r="D26" s="404">
        <v>2500</v>
      </c>
      <c r="E26" s="404">
        <v>0</v>
      </c>
      <c r="F26" s="405"/>
      <c r="G26" s="405"/>
      <c r="H26" s="405"/>
      <c r="I26" s="405"/>
      <c r="J26" s="405"/>
      <c r="K26" s="405"/>
      <c r="L26" s="405"/>
      <c r="M26" s="405"/>
      <c r="N26" s="405"/>
    </row>
    <row r="27" spans="1:14" ht="15.75">
      <c r="A27" s="403" t="s">
        <v>241</v>
      </c>
      <c r="B27" s="403" t="s">
        <v>244</v>
      </c>
      <c r="C27" s="403" t="s">
        <v>159</v>
      </c>
      <c r="D27" s="404">
        <v>2500</v>
      </c>
      <c r="E27" s="404">
        <v>8842</v>
      </c>
      <c r="F27" s="405"/>
      <c r="G27" s="405"/>
      <c r="H27" s="405"/>
      <c r="I27" s="405"/>
      <c r="J27" s="405"/>
      <c r="K27" s="405"/>
      <c r="L27" s="405"/>
      <c r="M27" s="405"/>
      <c r="N27" s="405"/>
    </row>
    <row r="28" spans="1:14" ht="15.75">
      <c r="A28" s="232"/>
      <c r="B28" s="232"/>
      <c r="C28" s="232"/>
      <c r="D28" s="232"/>
      <c r="E28" s="232"/>
      <c r="F28" s="405"/>
      <c r="G28" s="405"/>
      <c r="H28" s="405"/>
      <c r="I28" s="405"/>
      <c r="J28" s="405"/>
      <c r="K28" s="405"/>
      <c r="L28" s="405"/>
      <c r="M28" s="405"/>
      <c r="N28" s="405"/>
    </row>
    <row r="29" spans="1:14" ht="15.75">
      <c r="A29" s="403" t="s">
        <v>241</v>
      </c>
      <c r="B29" s="403" t="s">
        <v>248</v>
      </c>
      <c r="C29" s="403" t="s">
        <v>145</v>
      </c>
      <c r="D29" s="404">
        <v>96000</v>
      </c>
      <c r="E29" s="404">
        <v>95895</v>
      </c>
      <c r="F29" s="405"/>
      <c r="G29" s="405"/>
      <c r="H29" s="405"/>
      <c r="I29" s="405"/>
      <c r="J29" s="405"/>
      <c r="K29" s="405"/>
      <c r="L29" s="405"/>
      <c r="M29" s="405"/>
      <c r="N29" s="405"/>
    </row>
    <row r="30" spans="1:14" ht="15.75">
      <c r="A30" s="232"/>
      <c r="B30" s="232"/>
      <c r="C30" s="232"/>
      <c r="D30" s="232"/>
      <c r="E30" s="232"/>
      <c r="F30" s="405"/>
      <c r="G30" s="405"/>
      <c r="H30" s="405"/>
      <c r="I30" s="405"/>
      <c r="J30" s="405"/>
      <c r="K30" s="405"/>
      <c r="L30" s="405"/>
      <c r="M30" s="405"/>
      <c r="N30" s="405"/>
    </row>
    <row r="31" spans="1:14" ht="15.75">
      <c r="A31" s="403" t="s">
        <v>241</v>
      </c>
      <c r="B31" s="403" t="s">
        <v>242</v>
      </c>
      <c r="C31" s="403" t="s">
        <v>147</v>
      </c>
      <c r="D31" s="404">
        <v>4578196</v>
      </c>
      <c r="E31" s="404">
        <v>4643355</v>
      </c>
      <c r="F31" s="405"/>
      <c r="G31" s="405"/>
      <c r="H31" s="405"/>
      <c r="I31" s="405"/>
      <c r="J31" s="405"/>
      <c r="K31" s="405"/>
      <c r="L31" s="405"/>
      <c r="M31" s="405"/>
      <c r="N31" s="405"/>
    </row>
    <row r="32" spans="1:14" ht="15.75">
      <c r="A32" s="403" t="s">
        <v>241</v>
      </c>
      <c r="B32" s="403" t="s">
        <v>242</v>
      </c>
      <c r="C32" s="403" t="s">
        <v>148</v>
      </c>
      <c r="D32" s="404">
        <v>331100</v>
      </c>
      <c r="E32" s="404">
        <v>380519.96</v>
      </c>
      <c r="F32" s="405"/>
      <c r="G32" s="405"/>
      <c r="H32" s="405"/>
      <c r="I32" s="405"/>
      <c r="J32" s="405"/>
      <c r="K32" s="405"/>
      <c r="L32" s="405"/>
      <c r="M32" s="405"/>
      <c r="N32" s="405"/>
    </row>
    <row r="33" spans="1:14" ht="15.75">
      <c r="A33" s="232"/>
      <c r="B33" s="232"/>
      <c r="C33" s="232"/>
      <c r="D33" s="232"/>
      <c r="E33" s="232"/>
      <c r="F33" s="405"/>
      <c r="G33" s="405"/>
      <c r="H33" s="405"/>
      <c r="I33" s="405"/>
      <c r="J33" s="405"/>
      <c r="K33" s="405"/>
      <c r="L33" s="405"/>
      <c r="M33" s="405"/>
      <c r="N33" s="405"/>
    </row>
    <row r="34" spans="1:14" ht="15.75">
      <c r="A34" s="403" t="s">
        <v>249</v>
      </c>
      <c r="B34" s="403" t="s">
        <v>250</v>
      </c>
      <c r="C34" s="403" t="s">
        <v>128</v>
      </c>
      <c r="D34" s="404">
        <v>170000</v>
      </c>
      <c r="E34" s="404">
        <v>169724.15</v>
      </c>
      <c r="F34" s="405"/>
      <c r="G34" s="405"/>
      <c r="H34" s="405"/>
      <c r="I34" s="405"/>
      <c r="J34" s="405"/>
      <c r="K34" s="405"/>
      <c r="L34" s="405"/>
      <c r="M34" s="405"/>
      <c r="N34" s="405"/>
    </row>
    <row r="35" spans="1:14" ht="15.75">
      <c r="A35" s="403" t="s">
        <v>249</v>
      </c>
      <c r="B35" s="403" t="s">
        <v>250</v>
      </c>
      <c r="C35" s="403" t="s">
        <v>129</v>
      </c>
      <c r="D35" s="404">
        <v>218000</v>
      </c>
      <c r="E35" s="404">
        <v>228515.64</v>
      </c>
      <c r="F35" s="405"/>
      <c r="G35" s="405"/>
      <c r="H35" s="405"/>
      <c r="I35" s="405"/>
      <c r="J35" s="405"/>
      <c r="K35" s="405"/>
      <c r="L35" s="405"/>
      <c r="M35" s="405"/>
      <c r="N35" s="405"/>
    </row>
    <row r="36" spans="1:14" ht="15.75">
      <c r="A36" s="232"/>
      <c r="B36" s="232"/>
      <c r="C36" s="232"/>
      <c r="D36" s="232"/>
      <c r="E36" s="232"/>
      <c r="F36" s="405"/>
      <c r="G36" s="405"/>
      <c r="H36" s="405"/>
      <c r="I36" s="405"/>
      <c r="J36" s="405"/>
      <c r="K36" s="405"/>
      <c r="L36" s="405"/>
      <c r="M36" s="405"/>
      <c r="N36" s="405"/>
    </row>
    <row r="37" spans="1:14" ht="15.75">
      <c r="A37" s="403" t="s">
        <v>66</v>
      </c>
      <c r="B37" s="403" t="s">
        <v>274</v>
      </c>
      <c r="C37" s="403" t="s">
        <v>131</v>
      </c>
      <c r="D37" s="404">
        <v>93631</v>
      </c>
      <c r="E37" s="404">
        <v>91703.02</v>
      </c>
      <c r="F37" s="405"/>
      <c r="G37" s="405"/>
      <c r="H37" s="405"/>
      <c r="I37" s="405"/>
      <c r="J37" s="405"/>
      <c r="K37" s="405"/>
      <c r="L37" s="405"/>
      <c r="M37" s="405"/>
      <c r="N37" s="405"/>
    </row>
    <row r="38" spans="1:14" ht="15.75">
      <c r="A38" s="403" t="s">
        <v>251</v>
      </c>
      <c r="B38" s="403" t="s">
        <v>275</v>
      </c>
      <c r="C38" s="403" t="s">
        <v>131</v>
      </c>
      <c r="D38" s="404">
        <v>136768</v>
      </c>
      <c r="E38" s="404">
        <v>136768</v>
      </c>
      <c r="F38" s="405"/>
      <c r="G38" s="405"/>
      <c r="H38" s="405"/>
      <c r="I38" s="405"/>
      <c r="J38" s="405"/>
      <c r="K38" s="405"/>
      <c r="L38" s="405"/>
      <c r="M38" s="405"/>
      <c r="N38" s="405"/>
    </row>
    <row r="39" spans="1:14" ht="15.75">
      <c r="A39" s="403" t="s">
        <v>276</v>
      </c>
      <c r="B39" s="403" t="s">
        <v>277</v>
      </c>
      <c r="C39" s="403" t="s">
        <v>131</v>
      </c>
      <c r="D39" s="404">
        <v>2946</v>
      </c>
      <c r="E39" s="404">
        <v>2934.75</v>
      </c>
      <c r="F39" s="405"/>
      <c r="G39" s="405"/>
      <c r="H39" s="405"/>
      <c r="I39" s="405"/>
      <c r="J39" s="405"/>
      <c r="K39" s="405"/>
      <c r="L39" s="405"/>
      <c r="M39" s="405"/>
      <c r="N39" s="405"/>
    </row>
    <row r="40" spans="1:14" ht="15.75">
      <c r="A40" s="403" t="s">
        <v>276</v>
      </c>
      <c r="B40" s="403" t="s">
        <v>470</v>
      </c>
      <c r="C40" s="403" t="s">
        <v>131</v>
      </c>
      <c r="D40" s="404">
        <v>45196</v>
      </c>
      <c r="E40" s="404">
        <v>43370.53</v>
      </c>
      <c r="F40" s="405"/>
      <c r="G40" s="405"/>
      <c r="H40" s="405"/>
      <c r="I40" s="405"/>
      <c r="J40" s="405"/>
      <c r="K40" s="405"/>
      <c r="L40" s="405"/>
      <c r="M40" s="405"/>
      <c r="N40" s="405"/>
    </row>
    <row r="41" spans="1:14" ht="15.75">
      <c r="A41" s="403" t="s">
        <v>265</v>
      </c>
      <c r="B41" s="403" t="s">
        <v>278</v>
      </c>
      <c r="C41" s="403" t="s">
        <v>131</v>
      </c>
      <c r="D41" s="404">
        <v>433860</v>
      </c>
      <c r="E41" s="404">
        <v>433834.47</v>
      </c>
      <c r="F41" s="405"/>
      <c r="G41" s="405"/>
      <c r="H41" s="405"/>
      <c r="I41" s="405"/>
      <c r="J41" s="405"/>
      <c r="K41" s="405"/>
      <c r="L41" s="405"/>
      <c r="M41" s="405"/>
      <c r="N41" s="405"/>
    </row>
    <row r="42" spans="1:14" ht="15.75">
      <c r="A42" s="403" t="s">
        <v>265</v>
      </c>
      <c r="B42" s="403" t="s">
        <v>266</v>
      </c>
      <c r="C42" s="403" t="s">
        <v>131</v>
      </c>
      <c r="D42" s="404">
        <v>5033720</v>
      </c>
      <c r="E42" s="404">
        <v>5033567.54</v>
      </c>
      <c r="F42" s="405"/>
      <c r="G42" s="405"/>
      <c r="H42" s="405"/>
      <c r="I42" s="405"/>
      <c r="J42" s="405"/>
      <c r="K42" s="405"/>
      <c r="L42" s="405"/>
      <c r="M42" s="405"/>
      <c r="N42" s="405"/>
    </row>
    <row r="43" spans="1:14" ht="15.75">
      <c r="A43" s="403" t="s">
        <v>265</v>
      </c>
      <c r="B43" s="403" t="s">
        <v>279</v>
      </c>
      <c r="C43" s="403" t="s">
        <v>131</v>
      </c>
      <c r="D43" s="404">
        <v>17425</v>
      </c>
      <c r="E43" s="404">
        <v>17425</v>
      </c>
      <c r="F43" s="405"/>
      <c r="G43" s="405"/>
      <c r="H43" s="405"/>
      <c r="I43" s="405"/>
      <c r="J43" s="405"/>
      <c r="K43" s="405"/>
      <c r="L43" s="405"/>
      <c r="M43" s="405"/>
      <c r="N43" s="405"/>
    </row>
    <row r="44" spans="1:14" ht="15.75">
      <c r="A44" s="403" t="s">
        <v>265</v>
      </c>
      <c r="B44" s="403" t="s">
        <v>272</v>
      </c>
      <c r="C44" s="403" t="s">
        <v>131</v>
      </c>
      <c r="D44" s="404">
        <v>150597</v>
      </c>
      <c r="E44" s="404">
        <v>150596.8</v>
      </c>
      <c r="F44" s="405"/>
      <c r="G44" s="405"/>
      <c r="H44" s="405"/>
      <c r="I44" s="405"/>
      <c r="J44" s="405"/>
      <c r="K44" s="405"/>
      <c r="L44" s="405"/>
      <c r="M44" s="405"/>
      <c r="N44" s="405"/>
    </row>
    <row r="45" spans="1:14" ht="15.75">
      <c r="A45" s="403" t="s">
        <v>265</v>
      </c>
      <c r="B45" s="403" t="s">
        <v>273</v>
      </c>
      <c r="C45" s="403" t="s">
        <v>131</v>
      </c>
      <c r="D45" s="404">
        <v>125236</v>
      </c>
      <c r="E45" s="404">
        <v>113735.28</v>
      </c>
      <c r="F45" s="405"/>
      <c r="G45" s="405"/>
      <c r="H45" s="405"/>
      <c r="I45" s="405"/>
      <c r="J45" s="405"/>
      <c r="K45" s="405"/>
      <c r="L45" s="405"/>
      <c r="M45" s="405"/>
      <c r="N45" s="405"/>
    </row>
    <row r="46" spans="1:14" ht="15.75">
      <c r="A46" s="403" t="s">
        <v>205</v>
      </c>
      <c r="B46" s="403" t="s">
        <v>207</v>
      </c>
      <c r="C46" s="403" t="s">
        <v>131</v>
      </c>
      <c r="D46" s="404">
        <v>46504</v>
      </c>
      <c r="E46" s="404">
        <v>44860.16</v>
      </c>
      <c r="F46" s="405"/>
      <c r="G46" s="405"/>
      <c r="H46" s="405"/>
      <c r="I46" s="405"/>
      <c r="J46" s="405"/>
      <c r="K46" s="405"/>
      <c r="L46" s="405"/>
      <c r="M46" s="405"/>
      <c r="N46" s="405"/>
    </row>
    <row r="47" spans="1:14" ht="15.75">
      <c r="A47" s="403"/>
      <c r="B47" s="403"/>
      <c r="C47" s="403"/>
      <c r="D47" s="404"/>
      <c r="E47" s="404"/>
      <c r="F47" s="405"/>
      <c r="G47" s="405"/>
      <c r="H47" s="405"/>
      <c r="I47" s="405"/>
      <c r="J47" s="405"/>
      <c r="K47" s="405"/>
      <c r="L47" s="405"/>
      <c r="M47" s="405"/>
      <c r="N47" s="405"/>
    </row>
    <row r="48" spans="1:14" ht="15.75">
      <c r="A48" s="403" t="s">
        <v>331</v>
      </c>
      <c r="B48" s="403" t="s">
        <v>464</v>
      </c>
      <c r="C48" s="403" t="s">
        <v>154</v>
      </c>
      <c r="D48" s="404">
        <v>50348</v>
      </c>
      <c r="E48" s="404">
        <v>50348</v>
      </c>
      <c r="F48" s="405"/>
      <c r="G48" s="405"/>
      <c r="H48" s="405"/>
      <c r="I48" s="405"/>
      <c r="J48" s="405"/>
      <c r="K48" s="405"/>
      <c r="L48" s="405"/>
      <c r="M48" s="405"/>
      <c r="N48" s="405"/>
    </row>
    <row r="49" spans="1:14" ht="15.75">
      <c r="A49" s="403" t="s">
        <v>181</v>
      </c>
      <c r="B49" s="403" t="s">
        <v>467</v>
      </c>
      <c r="C49" s="403" t="s">
        <v>154</v>
      </c>
      <c r="D49" s="404">
        <v>178549</v>
      </c>
      <c r="E49" s="404">
        <v>178549</v>
      </c>
      <c r="F49" s="405"/>
      <c r="G49" s="405"/>
      <c r="H49" s="405"/>
      <c r="I49" s="405"/>
      <c r="J49" s="405"/>
      <c r="K49" s="405"/>
      <c r="L49" s="405"/>
      <c r="M49" s="405"/>
      <c r="N49" s="405"/>
    </row>
    <row r="50" spans="1:14" ht="15.75">
      <c r="A50" s="403" t="s">
        <v>251</v>
      </c>
      <c r="B50" s="403" t="s">
        <v>252</v>
      </c>
      <c r="C50" s="403" t="s">
        <v>154</v>
      </c>
      <c r="D50" s="404">
        <v>181</v>
      </c>
      <c r="E50" s="404">
        <v>0</v>
      </c>
      <c r="F50" s="405"/>
      <c r="G50" s="405"/>
      <c r="H50" s="405"/>
      <c r="I50" s="405"/>
      <c r="J50" s="405"/>
      <c r="K50" s="405"/>
      <c r="L50" s="405"/>
      <c r="M50" s="405"/>
      <c r="N50" s="405"/>
    </row>
    <row r="51" spans="1:14" ht="15.75">
      <c r="A51" s="403" t="s">
        <v>204</v>
      </c>
      <c r="B51" s="403" t="s">
        <v>261</v>
      </c>
      <c r="C51" s="403" t="s">
        <v>154</v>
      </c>
      <c r="D51" s="404">
        <v>65074</v>
      </c>
      <c r="E51" s="404">
        <v>65059.14</v>
      </c>
      <c r="F51" s="405"/>
      <c r="G51" s="405"/>
      <c r="H51" s="405"/>
      <c r="I51" s="405"/>
      <c r="J51" s="405"/>
      <c r="K51" s="405"/>
      <c r="L51" s="405"/>
      <c r="M51" s="405"/>
      <c r="N51" s="405"/>
    </row>
    <row r="52" spans="1:14" ht="15.75">
      <c r="A52" s="403" t="s">
        <v>204</v>
      </c>
      <c r="B52" s="403" t="s">
        <v>262</v>
      </c>
      <c r="C52" s="403" t="s">
        <v>154</v>
      </c>
      <c r="D52" s="404">
        <v>396</v>
      </c>
      <c r="E52" s="404">
        <v>396</v>
      </c>
      <c r="F52" s="405"/>
      <c r="G52" s="405"/>
      <c r="H52" s="405"/>
      <c r="I52" s="405"/>
      <c r="J52" s="405"/>
      <c r="K52" s="405"/>
      <c r="L52" s="405"/>
      <c r="M52" s="405"/>
      <c r="N52" s="405"/>
    </row>
    <row r="53" spans="1:14" ht="15.75">
      <c r="A53" s="403" t="s">
        <v>265</v>
      </c>
      <c r="B53" s="403" t="s">
        <v>279</v>
      </c>
      <c r="C53" s="403" t="s">
        <v>154</v>
      </c>
      <c r="D53" s="404">
        <v>8996</v>
      </c>
      <c r="E53" s="404">
        <v>8986.33</v>
      </c>
      <c r="F53" s="405"/>
      <c r="G53" s="405"/>
      <c r="H53" s="405"/>
      <c r="I53" s="405"/>
      <c r="J53" s="405"/>
      <c r="K53" s="405"/>
      <c r="L53" s="405"/>
      <c r="M53" s="405"/>
      <c r="N53" s="405"/>
    </row>
    <row r="54" spans="1:14" ht="15.75">
      <c r="A54" s="403" t="s">
        <v>265</v>
      </c>
      <c r="B54" s="403" t="s">
        <v>272</v>
      </c>
      <c r="C54" s="403" t="s">
        <v>154</v>
      </c>
      <c r="D54" s="404">
        <v>649243</v>
      </c>
      <c r="E54" s="404">
        <v>648017.09</v>
      </c>
      <c r="F54" s="405"/>
      <c r="G54" s="405"/>
      <c r="H54" s="405"/>
      <c r="I54" s="405"/>
      <c r="J54" s="405"/>
      <c r="K54" s="405"/>
      <c r="L54" s="405"/>
      <c r="M54" s="405"/>
      <c r="N54" s="405"/>
    </row>
    <row r="55" spans="1:14" ht="15.75">
      <c r="A55" s="403" t="s">
        <v>265</v>
      </c>
      <c r="B55" s="403" t="s">
        <v>270</v>
      </c>
      <c r="C55" s="403" t="s">
        <v>154</v>
      </c>
      <c r="D55" s="404">
        <v>242400</v>
      </c>
      <c r="E55" s="404">
        <v>242400</v>
      </c>
      <c r="F55" s="405"/>
      <c r="G55" s="405"/>
      <c r="H55" s="405"/>
      <c r="I55" s="405"/>
      <c r="J55" s="405"/>
      <c r="K55" s="405"/>
      <c r="L55" s="405"/>
      <c r="M55" s="405"/>
      <c r="N55" s="405"/>
    </row>
    <row r="56" spans="1:14" ht="15.75">
      <c r="A56" s="403" t="s">
        <v>265</v>
      </c>
      <c r="B56" s="403" t="s">
        <v>280</v>
      </c>
      <c r="C56" s="403" t="s">
        <v>154</v>
      </c>
      <c r="D56" s="404">
        <v>488550</v>
      </c>
      <c r="E56" s="404">
        <v>488549.27</v>
      </c>
      <c r="F56" s="405"/>
      <c r="G56" s="405"/>
      <c r="H56" s="405"/>
      <c r="I56" s="405"/>
      <c r="J56" s="405"/>
      <c r="K56" s="405"/>
      <c r="L56" s="405"/>
      <c r="M56" s="405"/>
      <c r="N56" s="405"/>
    </row>
    <row r="57" spans="1:14" ht="15.75">
      <c r="A57" s="403" t="s">
        <v>281</v>
      </c>
      <c r="B57" s="403" t="s">
        <v>282</v>
      </c>
      <c r="C57" s="403" t="s">
        <v>154</v>
      </c>
      <c r="D57" s="404">
        <v>55537</v>
      </c>
      <c r="E57" s="404">
        <v>35331.48</v>
      </c>
      <c r="F57" s="405"/>
      <c r="G57" s="405"/>
      <c r="H57" s="405"/>
      <c r="I57" s="405"/>
      <c r="J57" s="405"/>
      <c r="K57" s="405"/>
      <c r="L57" s="405"/>
      <c r="M57" s="405"/>
      <c r="N57" s="405"/>
    </row>
    <row r="58" spans="1:14" ht="15.75">
      <c r="A58" s="403" t="s">
        <v>281</v>
      </c>
      <c r="B58" s="403" t="s">
        <v>282</v>
      </c>
      <c r="C58" s="403" t="s">
        <v>154</v>
      </c>
      <c r="D58" s="404">
        <v>234459</v>
      </c>
      <c r="E58" s="404">
        <v>234459</v>
      </c>
      <c r="F58" s="405"/>
      <c r="G58" s="405"/>
      <c r="H58" s="405"/>
      <c r="I58" s="405"/>
      <c r="J58" s="405"/>
      <c r="K58" s="405"/>
      <c r="L58" s="405"/>
      <c r="M58" s="405"/>
      <c r="N58" s="405"/>
    </row>
    <row r="59" spans="1:14" ht="15.75">
      <c r="A59" s="232"/>
      <c r="B59" s="232"/>
      <c r="C59" s="232"/>
      <c r="D59" s="232"/>
      <c r="E59" s="232"/>
      <c r="F59" s="405"/>
      <c r="G59" s="405"/>
      <c r="H59" s="405"/>
      <c r="I59" s="405"/>
      <c r="J59" s="405"/>
      <c r="K59" s="405"/>
      <c r="L59" s="405"/>
      <c r="M59" s="405"/>
      <c r="N59" s="405"/>
    </row>
    <row r="60" spans="1:14" ht="15.75">
      <c r="A60" s="403" t="s">
        <v>331</v>
      </c>
      <c r="B60" s="403" t="s">
        <v>334</v>
      </c>
      <c r="C60" s="403" t="s">
        <v>284</v>
      </c>
      <c r="D60" s="404">
        <v>59000</v>
      </c>
      <c r="E60" s="404">
        <v>59000</v>
      </c>
      <c r="F60" s="405"/>
      <c r="G60" s="405"/>
      <c r="H60" s="405"/>
      <c r="I60" s="405"/>
      <c r="J60" s="405"/>
      <c r="K60" s="405"/>
      <c r="L60" s="405"/>
      <c r="M60" s="405"/>
      <c r="N60" s="405"/>
    </row>
    <row r="61" spans="1:14" ht="15.75">
      <c r="A61" s="403" t="s">
        <v>181</v>
      </c>
      <c r="B61" s="403" t="s">
        <v>545</v>
      </c>
      <c r="C61" s="403" t="s">
        <v>284</v>
      </c>
      <c r="D61" s="404">
        <v>10000</v>
      </c>
      <c r="E61" s="404">
        <v>10000</v>
      </c>
      <c r="F61" s="405"/>
      <c r="G61" s="405"/>
      <c r="H61" s="405"/>
      <c r="I61" s="405"/>
      <c r="J61" s="405"/>
      <c r="K61" s="405"/>
      <c r="L61" s="405"/>
      <c r="M61" s="405"/>
      <c r="N61" s="405"/>
    </row>
    <row r="62" spans="1:14" ht="15.75">
      <c r="A62" s="403" t="s">
        <v>204</v>
      </c>
      <c r="B62" s="403" t="s">
        <v>261</v>
      </c>
      <c r="C62" s="403" t="s">
        <v>284</v>
      </c>
      <c r="D62" s="404">
        <v>53720.25</v>
      </c>
      <c r="E62" s="404">
        <v>53720.25</v>
      </c>
      <c r="F62" s="405"/>
      <c r="G62" s="405"/>
      <c r="H62" s="405"/>
      <c r="I62" s="405"/>
      <c r="J62" s="405"/>
      <c r="K62" s="405"/>
      <c r="L62" s="405"/>
      <c r="M62" s="405"/>
      <c r="N62" s="405"/>
    </row>
    <row r="63" spans="1:14" ht="15.75">
      <c r="A63" s="403" t="s">
        <v>265</v>
      </c>
      <c r="B63" s="403" t="s">
        <v>278</v>
      </c>
      <c r="C63" s="403" t="s">
        <v>284</v>
      </c>
      <c r="D63" s="404">
        <v>12405.2</v>
      </c>
      <c r="E63" s="404">
        <v>12260.51</v>
      </c>
      <c r="F63" s="405"/>
      <c r="G63" s="405"/>
      <c r="H63" s="405"/>
      <c r="I63" s="405"/>
      <c r="J63" s="405"/>
      <c r="K63" s="405"/>
      <c r="L63" s="405"/>
      <c r="M63" s="405"/>
      <c r="N63" s="405"/>
    </row>
    <row r="64" spans="1:14" ht="15.75">
      <c r="A64" s="403" t="s">
        <v>246</v>
      </c>
      <c r="B64" s="403" t="s">
        <v>398</v>
      </c>
      <c r="C64" s="403" t="s">
        <v>284</v>
      </c>
      <c r="D64" s="404">
        <v>40000</v>
      </c>
      <c r="E64" s="404">
        <v>40000</v>
      </c>
      <c r="F64" s="405"/>
      <c r="G64" s="405"/>
      <c r="H64" s="405"/>
      <c r="I64" s="405"/>
      <c r="J64" s="405"/>
      <c r="K64" s="405"/>
      <c r="L64" s="405"/>
      <c r="M64" s="405"/>
      <c r="N64" s="405"/>
    </row>
    <row r="65" spans="1:14" ht="15.75">
      <c r="A65" s="403" t="s">
        <v>254</v>
      </c>
      <c r="B65" s="403" t="s">
        <v>415</v>
      </c>
      <c r="C65" s="403" t="s">
        <v>284</v>
      </c>
      <c r="D65" s="404">
        <v>10000</v>
      </c>
      <c r="E65" s="404">
        <v>10000</v>
      </c>
      <c r="F65" s="405"/>
      <c r="G65" s="405"/>
      <c r="H65" s="405"/>
      <c r="I65" s="405"/>
      <c r="J65" s="405"/>
      <c r="K65" s="405"/>
      <c r="L65" s="405"/>
      <c r="M65" s="405"/>
      <c r="N65" s="405"/>
    </row>
    <row r="66" spans="1:14" ht="15.75">
      <c r="A66" s="232"/>
      <c r="B66" s="232"/>
      <c r="C66" s="232"/>
      <c r="D66" s="232"/>
      <c r="E66" s="232"/>
      <c r="F66" s="405"/>
      <c r="G66" s="405"/>
      <c r="H66" s="405"/>
      <c r="I66" s="405"/>
      <c r="J66" s="405"/>
      <c r="K66" s="405"/>
      <c r="L66" s="405"/>
      <c r="M66" s="405"/>
      <c r="N66" s="405"/>
    </row>
    <row r="67" spans="1:14" ht="15.75">
      <c r="A67" s="403" t="s">
        <v>205</v>
      </c>
      <c r="B67" s="403" t="s">
        <v>206</v>
      </c>
      <c r="C67" s="403" t="s">
        <v>153</v>
      </c>
      <c r="D67" s="404">
        <v>5600</v>
      </c>
      <c r="E67" s="404">
        <v>5600</v>
      </c>
      <c r="F67" s="405"/>
      <c r="G67" s="405"/>
      <c r="H67" s="405"/>
      <c r="I67" s="405"/>
      <c r="J67" s="405"/>
      <c r="K67" s="405"/>
      <c r="L67" s="405"/>
      <c r="M67" s="405"/>
      <c r="N67" s="405"/>
    </row>
    <row r="68" spans="1:14" ht="15.75">
      <c r="A68" s="403"/>
      <c r="B68" s="403"/>
      <c r="C68" s="403"/>
      <c r="D68" s="404"/>
      <c r="E68" s="404"/>
      <c r="F68" s="405"/>
      <c r="G68" s="405"/>
      <c r="H68" s="405"/>
      <c r="I68" s="405"/>
      <c r="J68" s="405"/>
      <c r="K68" s="405"/>
      <c r="L68" s="405"/>
      <c r="M68" s="405"/>
      <c r="N68" s="405"/>
    </row>
    <row r="69" spans="1:14" ht="15.75">
      <c r="A69" s="403" t="s">
        <v>205</v>
      </c>
      <c r="B69" s="403" t="s">
        <v>207</v>
      </c>
      <c r="C69" s="403" t="s">
        <v>316</v>
      </c>
      <c r="D69" s="404">
        <v>10000</v>
      </c>
      <c r="E69" s="404">
        <v>10000</v>
      </c>
      <c r="F69" s="405"/>
      <c r="G69" s="405"/>
      <c r="H69" s="405"/>
      <c r="I69" s="405"/>
      <c r="J69" s="405"/>
      <c r="K69" s="405"/>
      <c r="L69" s="405"/>
      <c r="M69" s="405"/>
      <c r="N69" s="405"/>
    </row>
    <row r="70" spans="1:14" ht="15.75">
      <c r="A70" s="232"/>
      <c r="B70" s="232"/>
      <c r="C70" s="232"/>
      <c r="D70" s="232"/>
      <c r="E70" s="232"/>
      <c r="F70" s="405"/>
      <c r="G70" s="405"/>
      <c r="H70" s="405"/>
      <c r="I70" s="405"/>
      <c r="J70" s="405"/>
      <c r="K70" s="405"/>
      <c r="L70" s="405"/>
      <c r="M70" s="405"/>
      <c r="N70" s="405"/>
    </row>
    <row r="71" spans="1:14" ht="15.75">
      <c r="A71" s="403" t="s">
        <v>267</v>
      </c>
      <c r="B71" s="403" t="s">
        <v>287</v>
      </c>
      <c r="C71" s="403" t="s">
        <v>149</v>
      </c>
      <c r="D71" s="404">
        <v>10130189</v>
      </c>
      <c r="E71" s="404">
        <v>10130189</v>
      </c>
      <c r="F71" s="405"/>
      <c r="G71" s="405"/>
      <c r="H71" s="405"/>
      <c r="I71" s="405"/>
      <c r="J71" s="405"/>
      <c r="K71" s="405"/>
      <c r="L71" s="405"/>
      <c r="M71" s="405"/>
      <c r="N71" s="405"/>
    </row>
    <row r="72" spans="1:14" ht="15.75">
      <c r="A72" s="403" t="s">
        <v>267</v>
      </c>
      <c r="B72" s="403" t="s">
        <v>546</v>
      </c>
      <c r="C72" s="403" t="s">
        <v>547</v>
      </c>
      <c r="D72" s="404">
        <v>37365</v>
      </c>
      <c r="E72" s="404">
        <v>37365</v>
      </c>
      <c r="F72" s="405"/>
      <c r="G72" s="405"/>
      <c r="H72" s="405"/>
      <c r="I72" s="405"/>
      <c r="J72" s="405"/>
      <c r="K72" s="405"/>
      <c r="L72" s="405"/>
      <c r="M72" s="405"/>
      <c r="N72" s="405"/>
    </row>
    <row r="73" spans="1:14" ht="15.75">
      <c r="A73" s="403" t="s">
        <v>267</v>
      </c>
      <c r="B73" s="403" t="s">
        <v>288</v>
      </c>
      <c r="C73" s="403" t="s">
        <v>149</v>
      </c>
      <c r="D73" s="404">
        <v>7381154</v>
      </c>
      <c r="E73" s="404">
        <v>7381154</v>
      </c>
      <c r="F73" s="405"/>
      <c r="G73" s="405"/>
      <c r="H73" s="405"/>
      <c r="I73" s="405"/>
      <c r="J73" s="405"/>
      <c r="K73" s="405"/>
      <c r="L73" s="405"/>
      <c r="M73" s="405"/>
      <c r="N73" s="405"/>
    </row>
    <row r="74" spans="1:14" ht="15.75">
      <c r="A74" s="403" t="s">
        <v>267</v>
      </c>
      <c r="B74" s="403" t="s">
        <v>289</v>
      </c>
      <c r="C74" s="403" t="s">
        <v>149</v>
      </c>
      <c r="D74" s="404">
        <v>730669</v>
      </c>
      <c r="E74" s="404">
        <v>730669</v>
      </c>
      <c r="F74" s="405"/>
      <c r="G74" s="405"/>
      <c r="H74" s="405"/>
      <c r="I74" s="405"/>
      <c r="J74" s="405"/>
      <c r="K74" s="405"/>
      <c r="L74" s="405"/>
      <c r="M74" s="405"/>
      <c r="N74" s="405"/>
    </row>
    <row r="75" spans="1:14" ht="15.75">
      <c r="A75" s="232"/>
      <c r="B75" s="232"/>
      <c r="C75" s="232"/>
      <c r="D75" s="232"/>
      <c r="E75" s="232"/>
      <c r="F75" s="405"/>
      <c r="G75" s="405"/>
      <c r="H75" s="405"/>
      <c r="I75" s="405"/>
      <c r="J75" s="405"/>
      <c r="K75" s="405"/>
      <c r="L75" s="405"/>
      <c r="M75" s="405"/>
      <c r="N75" s="405"/>
    </row>
    <row r="76" spans="1:14" ht="15.75">
      <c r="A76" s="408" t="s">
        <v>204</v>
      </c>
      <c r="B76" s="408" t="s">
        <v>262</v>
      </c>
      <c r="C76" s="408" t="s">
        <v>471</v>
      </c>
      <c r="D76" s="409">
        <v>82023.88</v>
      </c>
      <c r="E76" s="409">
        <v>81732.04</v>
      </c>
      <c r="F76" s="405"/>
      <c r="G76" s="405"/>
      <c r="H76" s="405"/>
      <c r="I76" s="405"/>
      <c r="J76" s="405"/>
      <c r="K76" s="405"/>
      <c r="L76" s="405"/>
      <c r="M76" s="405"/>
      <c r="N76" s="405"/>
    </row>
    <row r="77" spans="1:14" ht="15.75">
      <c r="A77" s="408" t="s">
        <v>204</v>
      </c>
      <c r="B77" s="408" t="s">
        <v>262</v>
      </c>
      <c r="C77" s="408" t="s">
        <v>472</v>
      </c>
      <c r="D77" s="409">
        <v>12943.22</v>
      </c>
      <c r="E77" s="409">
        <v>12899.58</v>
      </c>
      <c r="F77" s="405"/>
      <c r="G77" s="405"/>
      <c r="H77" s="405"/>
      <c r="I77" s="405"/>
      <c r="J77" s="405"/>
      <c r="K77" s="405"/>
      <c r="L77" s="405"/>
      <c r="M77" s="405"/>
      <c r="N77" s="405"/>
    </row>
    <row r="78" spans="1:14" ht="15.75">
      <c r="A78" s="403"/>
      <c r="B78" s="403"/>
      <c r="C78" s="403"/>
      <c r="D78" s="404"/>
      <c r="E78" s="404"/>
      <c r="F78" s="405"/>
      <c r="G78" s="405"/>
      <c r="H78" s="405"/>
      <c r="I78" s="405"/>
      <c r="J78" s="405"/>
      <c r="K78" s="405"/>
      <c r="L78" s="405"/>
      <c r="M78" s="405"/>
      <c r="N78" s="405"/>
    </row>
    <row r="79" spans="1:14" ht="15.75">
      <c r="A79" s="403" t="s">
        <v>265</v>
      </c>
      <c r="B79" s="403" t="s">
        <v>270</v>
      </c>
      <c r="C79" s="403" t="s">
        <v>471</v>
      </c>
      <c r="D79" s="404">
        <v>251600</v>
      </c>
      <c r="E79" s="404">
        <v>249855.12</v>
      </c>
      <c r="F79" s="405"/>
      <c r="G79" s="405"/>
      <c r="H79" s="405"/>
      <c r="I79" s="405"/>
      <c r="J79" s="405"/>
      <c r="K79" s="405"/>
      <c r="L79" s="405"/>
      <c r="M79" s="405"/>
      <c r="N79" s="405"/>
    </row>
    <row r="80" spans="1:14" ht="15.75">
      <c r="A80" s="403" t="s">
        <v>265</v>
      </c>
      <c r="B80" s="403" t="s">
        <v>270</v>
      </c>
      <c r="C80" s="403" t="s">
        <v>472</v>
      </c>
      <c r="D80" s="404">
        <v>13320</v>
      </c>
      <c r="E80" s="404">
        <v>13233.35</v>
      </c>
      <c r="F80" s="405"/>
      <c r="G80" s="405"/>
      <c r="H80" s="405"/>
      <c r="I80" s="405"/>
      <c r="J80" s="405"/>
      <c r="K80" s="405"/>
      <c r="L80" s="405"/>
      <c r="M80" s="405"/>
      <c r="N80" s="405"/>
    </row>
    <row r="81" spans="1:14" ht="15.75">
      <c r="A81" s="232"/>
      <c r="B81" s="232"/>
      <c r="C81" s="232"/>
      <c r="D81" s="232"/>
      <c r="E81" s="232"/>
      <c r="F81" s="405"/>
      <c r="G81" s="405"/>
      <c r="H81" s="405"/>
      <c r="I81" s="405"/>
      <c r="J81" s="405"/>
      <c r="K81" s="405"/>
      <c r="L81" s="405"/>
      <c r="M81" s="405"/>
      <c r="N81" s="405"/>
    </row>
    <row r="82" spans="1:14" ht="15.75">
      <c r="A82" s="408" t="s">
        <v>204</v>
      </c>
      <c r="B82" s="408" t="s">
        <v>262</v>
      </c>
      <c r="C82" s="408" t="s">
        <v>127</v>
      </c>
      <c r="D82" s="409">
        <v>610000</v>
      </c>
      <c r="E82" s="409">
        <v>735250.02</v>
      </c>
      <c r="F82" s="405"/>
      <c r="G82" s="405"/>
      <c r="H82" s="405"/>
      <c r="I82" s="405"/>
      <c r="J82" s="405"/>
      <c r="K82" s="405"/>
      <c r="L82" s="405"/>
      <c r="M82" s="405"/>
      <c r="N82" s="405"/>
    </row>
    <row r="83" spans="1:14" ht="15.75">
      <c r="A83" s="408" t="s">
        <v>204</v>
      </c>
      <c r="B83" s="408" t="s">
        <v>262</v>
      </c>
      <c r="C83" s="408" t="s">
        <v>126</v>
      </c>
      <c r="D83" s="409">
        <v>16137.25</v>
      </c>
      <c r="E83" s="409">
        <v>60645.32</v>
      </c>
      <c r="F83" s="405"/>
      <c r="G83" s="405"/>
      <c r="H83" s="405"/>
      <c r="I83" s="405"/>
      <c r="J83" s="405"/>
      <c r="K83" s="405"/>
      <c r="L83" s="405"/>
      <c r="M83" s="405"/>
      <c r="N83" s="405"/>
    </row>
    <row r="84" spans="1:14" ht="15.75">
      <c r="A84" s="232"/>
      <c r="B84" s="232"/>
      <c r="C84" s="232"/>
      <c r="D84" s="232"/>
      <c r="E84" s="232"/>
      <c r="F84" s="405"/>
      <c r="G84" s="405"/>
      <c r="H84" s="405"/>
      <c r="I84" s="405"/>
      <c r="J84" s="405"/>
      <c r="K84" s="405"/>
      <c r="L84" s="405"/>
      <c r="M84" s="405"/>
      <c r="N84" s="405"/>
    </row>
    <row r="85" spans="1:14" ht="15.75">
      <c r="A85" s="403" t="s">
        <v>257</v>
      </c>
      <c r="B85" s="403" t="s">
        <v>258</v>
      </c>
      <c r="C85" s="403" t="s">
        <v>127</v>
      </c>
      <c r="D85" s="404">
        <v>26000</v>
      </c>
      <c r="E85" s="404">
        <v>26228.3</v>
      </c>
      <c r="F85" s="405"/>
      <c r="G85" s="405"/>
      <c r="H85" s="405"/>
      <c r="I85" s="405"/>
      <c r="J85" s="405"/>
      <c r="K85" s="405"/>
      <c r="L85" s="405"/>
      <c r="M85" s="405"/>
      <c r="N85" s="405"/>
    </row>
    <row r="86" spans="1:14" ht="15.75">
      <c r="A86" s="403" t="s">
        <v>257</v>
      </c>
      <c r="B86" s="403" t="s">
        <v>258</v>
      </c>
      <c r="C86" s="403" t="s">
        <v>126</v>
      </c>
      <c r="D86" s="404">
        <v>0</v>
      </c>
      <c r="E86" s="404">
        <v>87.01</v>
      </c>
      <c r="F86" s="405"/>
      <c r="G86" s="405"/>
      <c r="H86" s="405"/>
      <c r="I86" s="405"/>
      <c r="J86" s="405"/>
      <c r="K86" s="405"/>
      <c r="L86" s="405"/>
      <c r="M86" s="405"/>
      <c r="N86" s="405"/>
    </row>
    <row r="87" spans="1:14" ht="15.75">
      <c r="A87" s="403"/>
      <c r="B87" s="403"/>
      <c r="C87" s="403"/>
      <c r="D87" s="404"/>
      <c r="E87" s="404"/>
      <c r="F87" s="405"/>
      <c r="G87" s="405"/>
      <c r="H87" s="405"/>
      <c r="I87" s="405"/>
      <c r="J87" s="405"/>
      <c r="K87" s="405"/>
      <c r="L87" s="405"/>
      <c r="M87" s="405"/>
      <c r="N87" s="405"/>
    </row>
    <row r="88" spans="1:14" ht="15.75">
      <c r="A88" s="403" t="s">
        <v>204</v>
      </c>
      <c r="B88" s="403" t="s">
        <v>261</v>
      </c>
      <c r="C88" s="403" t="s">
        <v>127</v>
      </c>
      <c r="D88" s="404">
        <v>200703</v>
      </c>
      <c r="E88" s="404">
        <v>197276.54</v>
      </c>
      <c r="F88" s="405"/>
      <c r="G88" s="405"/>
      <c r="H88" s="405"/>
      <c r="I88" s="405"/>
      <c r="J88" s="405"/>
      <c r="K88" s="405"/>
      <c r="L88" s="405"/>
      <c r="M88" s="405"/>
      <c r="N88" s="405"/>
    </row>
    <row r="89" spans="1:14" ht="15.75">
      <c r="A89" s="403" t="s">
        <v>204</v>
      </c>
      <c r="B89" s="403" t="s">
        <v>261</v>
      </c>
      <c r="C89" s="403" t="s">
        <v>126</v>
      </c>
      <c r="D89" s="404">
        <v>14283</v>
      </c>
      <c r="E89" s="404">
        <v>21983.06</v>
      </c>
      <c r="F89" s="405"/>
      <c r="G89" s="405"/>
      <c r="H89" s="405"/>
      <c r="I89" s="405"/>
      <c r="J89" s="405"/>
      <c r="K89" s="405"/>
      <c r="L89" s="405"/>
      <c r="M89" s="405"/>
      <c r="N89" s="405"/>
    </row>
    <row r="90" spans="1:14" ht="15.75">
      <c r="A90" s="403" t="s">
        <v>204</v>
      </c>
      <c r="B90" s="403" t="s">
        <v>271</v>
      </c>
      <c r="C90" s="403" t="s">
        <v>126</v>
      </c>
      <c r="D90" s="404">
        <v>1600</v>
      </c>
      <c r="E90" s="404">
        <v>1614.9</v>
      </c>
      <c r="F90" s="405"/>
      <c r="G90" s="405"/>
      <c r="H90" s="405"/>
      <c r="I90" s="405"/>
      <c r="J90" s="405"/>
      <c r="K90" s="405"/>
      <c r="L90" s="405"/>
      <c r="M90" s="405"/>
      <c r="N90" s="405"/>
    </row>
    <row r="91" spans="1:14" ht="15.75">
      <c r="A91" s="403" t="s">
        <v>204</v>
      </c>
      <c r="B91" s="403" t="s">
        <v>448</v>
      </c>
      <c r="C91" s="403" t="s">
        <v>126</v>
      </c>
      <c r="D91" s="404">
        <v>650</v>
      </c>
      <c r="E91" s="404">
        <v>648.69</v>
      </c>
      <c r="F91" s="405"/>
      <c r="G91" s="405"/>
      <c r="H91" s="405"/>
      <c r="I91" s="405"/>
      <c r="J91" s="405"/>
      <c r="K91" s="405"/>
      <c r="L91" s="405"/>
      <c r="M91" s="405"/>
      <c r="N91" s="405"/>
    </row>
    <row r="92" spans="1:14" ht="15.75">
      <c r="A92" s="232"/>
      <c r="B92" s="232"/>
      <c r="C92" s="232"/>
      <c r="D92" s="232"/>
      <c r="E92" s="232"/>
      <c r="F92" s="405"/>
      <c r="G92" s="405"/>
      <c r="H92" s="405"/>
      <c r="I92" s="405"/>
      <c r="J92" s="405"/>
      <c r="K92" s="405"/>
      <c r="L92" s="405"/>
      <c r="M92" s="405"/>
      <c r="N92" s="405"/>
    </row>
    <row r="93" spans="1:14" ht="15.75">
      <c r="A93" s="403" t="s">
        <v>251</v>
      </c>
      <c r="B93" s="403" t="s">
        <v>275</v>
      </c>
      <c r="C93" s="403" t="s">
        <v>192</v>
      </c>
      <c r="D93" s="404">
        <v>1350</v>
      </c>
      <c r="E93" s="404">
        <v>1273.5</v>
      </c>
      <c r="F93" s="405"/>
      <c r="G93" s="405"/>
      <c r="H93" s="405"/>
      <c r="I93" s="405"/>
      <c r="J93" s="405"/>
      <c r="K93" s="405"/>
      <c r="L93" s="405"/>
      <c r="M93" s="405"/>
      <c r="N93" s="405"/>
    </row>
    <row r="94" spans="1:14" ht="15.75">
      <c r="A94" s="403" t="s">
        <v>251</v>
      </c>
      <c r="B94" s="403" t="s">
        <v>283</v>
      </c>
      <c r="C94" s="403" t="s">
        <v>192</v>
      </c>
      <c r="D94" s="404">
        <v>0</v>
      </c>
      <c r="E94" s="404">
        <v>3.1</v>
      </c>
      <c r="F94" s="405"/>
      <c r="G94" s="405"/>
      <c r="H94" s="405"/>
      <c r="I94" s="405"/>
      <c r="J94" s="405"/>
      <c r="K94" s="405"/>
      <c r="L94" s="405"/>
      <c r="M94" s="405"/>
      <c r="N94" s="405"/>
    </row>
    <row r="95" spans="1:14" ht="15.75">
      <c r="A95" s="403" t="s">
        <v>265</v>
      </c>
      <c r="B95" s="403" t="s">
        <v>266</v>
      </c>
      <c r="C95" s="403" t="s">
        <v>192</v>
      </c>
      <c r="D95" s="404">
        <v>28420</v>
      </c>
      <c r="E95" s="404">
        <v>30228.98</v>
      </c>
      <c r="F95" s="405"/>
      <c r="G95" s="405"/>
      <c r="H95" s="405"/>
      <c r="I95" s="405"/>
      <c r="J95" s="405"/>
      <c r="K95" s="405"/>
      <c r="L95" s="405"/>
      <c r="M95" s="405"/>
      <c r="N95" s="405"/>
    </row>
    <row r="96" spans="1:14" ht="15.75">
      <c r="A96" s="403" t="s">
        <v>265</v>
      </c>
      <c r="B96" s="403" t="s">
        <v>273</v>
      </c>
      <c r="C96" s="403" t="s">
        <v>192</v>
      </c>
      <c r="D96" s="404">
        <v>565</v>
      </c>
      <c r="E96" s="404">
        <v>564.23</v>
      </c>
      <c r="F96" s="405"/>
      <c r="G96" s="405"/>
      <c r="H96" s="405"/>
      <c r="I96" s="405"/>
      <c r="J96" s="405"/>
      <c r="K96" s="405"/>
      <c r="L96" s="405"/>
      <c r="M96" s="405"/>
      <c r="N96" s="405"/>
    </row>
    <row r="97" spans="1:14" ht="15.75">
      <c r="A97" s="403"/>
      <c r="B97" s="403"/>
      <c r="C97" s="403"/>
      <c r="D97" s="404"/>
      <c r="E97" s="404"/>
      <c r="F97" s="405"/>
      <c r="G97" s="405"/>
      <c r="H97" s="405"/>
      <c r="I97" s="405"/>
      <c r="J97" s="405"/>
      <c r="K97" s="405"/>
      <c r="L97" s="405"/>
      <c r="M97" s="405"/>
      <c r="N97" s="405"/>
    </row>
    <row r="98" spans="1:14" ht="15.75">
      <c r="A98" s="403" t="s">
        <v>181</v>
      </c>
      <c r="B98" s="403" t="s">
        <v>286</v>
      </c>
      <c r="C98" s="403" t="s">
        <v>269</v>
      </c>
      <c r="D98" s="404">
        <v>27000</v>
      </c>
      <c r="E98" s="404">
        <v>27000</v>
      </c>
      <c r="F98" s="405"/>
      <c r="G98" s="405"/>
      <c r="H98" s="405"/>
      <c r="I98" s="405"/>
      <c r="J98" s="405"/>
      <c r="K98" s="405"/>
      <c r="L98" s="405"/>
      <c r="M98" s="405"/>
      <c r="N98" s="405"/>
    </row>
    <row r="99" spans="1:14" ht="15.75">
      <c r="A99" s="403" t="s">
        <v>251</v>
      </c>
      <c r="B99" s="403" t="s">
        <v>283</v>
      </c>
      <c r="C99" s="403" t="s">
        <v>269</v>
      </c>
      <c r="D99" s="404">
        <v>41294</v>
      </c>
      <c r="E99" s="404">
        <v>41449.73</v>
      </c>
      <c r="F99" s="405"/>
      <c r="G99" s="405"/>
      <c r="H99" s="405"/>
      <c r="I99" s="405"/>
      <c r="J99" s="405"/>
      <c r="K99" s="405"/>
      <c r="L99" s="405"/>
      <c r="M99" s="405"/>
      <c r="N99" s="405"/>
    </row>
    <row r="100" spans="1:14" ht="15.75">
      <c r="A100" s="403" t="s">
        <v>263</v>
      </c>
      <c r="B100" s="403" t="s">
        <v>362</v>
      </c>
      <c r="C100" s="403" t="s">
        <v>269</v>
      </c>
      <c r="D100" s="404">
        <v>2000</v>
      </c>
      <c r="E100" s="404">
        <v>2000</v>
      </c>
      <c r="F100" s="405"/>
      <c r="G100" s="405"/>
      <c r="H100" s="405"/>
      <c r="I100" s="405"/>
      <c r="J100" s="405"/>
      <c r="K100" s="405"/>
      <c r="L100" s="405"/>
      <c r="M100" s="405"/>
      <c r="N100" s="405"/>
    </row>
    <row r="101" spans="1:14" ht="15.75">
      <c r="A101" s="403" t="s">
        <v>204</v>
      </c>
      <c r="B101" s="403" t="s">
        <v>261</v>
      </c>
      <c r="C101" s="403" t="s">
        <v>269</v>
      </c>
      <c r="D101" s="404">
        <v>29270.25</v>
      </c>
      <c r="E101" s="404">
        <v>37461.85</v>
      </c>
      <c r="F101" s="405"/>
      <c r="G101" s="405"/>
      <c r="H101" s="405"/>
      <c r="I101" s="405"/>
      <c r="J101" s="405"/>
      <c r="K101" s="405"/>
      <c r="L101" s="405"/>
      <c r="M101" s="405"/>
      <c r="N101" s="405"/>
    </row>
    <row r="102" spans="1:14" ht="15.75">
      <c r="A102" s="403" t="s">
        <v>204</v>
      </c>
      <c r="B102" s="403" t="s">
        <v>373</v>
      </c>
      <c r="C102" s="403" t="s">
        <v>269</v>
      </c>
      <c r="D102" s="404">
        <v>5000</v>
      </c>
      <c r="E102" s="404">
        <v>5000</v>
      </c>
      <c r="F102" s="405"/>
      <c r="G102" s="405"/>
      <c r="H102" s="405"/>
      <c r="I102" s="405"/>
      <c r="J102" s="405"/>
      <c r="K102" s="405"/>
      <c r="L102" s="405"/>
      <c r="M102" s="405"/>
      <c r="N102" s="405"/>
    </row>
    <row r="103" spans="1:14" ht="15.75">
      <c r="A103" s="410" t="s">
        <v>204</v>
      </c>
      <c r="B103" s="410" t="s">
        <v>262</v>
      </c>
      <c r="C103" s="410" t="s">
        <v>269</v>
      </c>
      <c r="D103" s="411">
        <v>4000</v>
      </c>
      <c r="E103" s="411">
        <v>4000</v>
      </c>
      <c r="F103" s="405"/>
      <c r="G103" s="405"/>
      <c r="H103" s="405"/>
      <c r="I103" s="405"/>
      <c r="J103" s="405"/>
      <c r="K103" s="405"/>
      <c r="L103" s="405"/>
      <c r="M103" s="405"/>
      <c r="N103" s="405"/>
    </row>
    <row r="104" spans="1:14" ht="15.75">
      <c r="A104" s="403" t="s">
        <v>265</v>
      </c>
      <c r="B104" s="403" t="s">
        <v>280</v>
      </c>
      <c r="C104" s="403" t="s">
        <v>269</v>
      </c>
      <c r="D104" s="404">
        <v>840</v>
      </c>
      <c r="E104" s="404">
        <v>840</v>
      </c>
      <c r="F104" s="405"/>
      <c r="G104" s="405"/>
      <c r="H104" s="405"/>
      <c r="I104" s="405"/>
      <c r="J104" s="405"/>
      <c r="K104" s="405"/>
      <c r="L104" s="405"/>
      <c r="M104" s="405"/>
      <c r="N104" s="405"/>
    </row>
    <row r="105" spans="1:14" ht="15.75">
      <c r="A105" s="403" t="s">
        <v>254</v>
      </c>
      <c r="B105" s="403" t="s">
        <v>255</v>
      </c>
      <c r="C105" s="403" t="s">
        <v>269</v>
      </c>
      <c r="D105" s="404">
        <v>6666</v>
      </c>
      <c r="E105" s="404">
        <v>6666</v>
      </c>
      <c r="F105" s="405"/>
      <c r="G105" s="405"/>
      <c r="H105" s="405"/>
      <c r="I105" s="405"/>
      <c r="J105" s="405"/>
      <c r="K105" s="405"/>
      <c r="L105" s="405"/>
      <c r="M105" s="405"/>
      <c r="N105" s="405"/>
    </row>
    <row r="106" spans="1:14" ht="15.75">
      <c r="A106" s="410"/>
      <c r="B106" s="410"/>
      <c r="C106" s="410"/>
      <c r="D106" s="411"/>
      <c r="E106" s="411"/>
      <c r="F106" s="405"/>
      <c r="G106" s="405"/>
      <c r="H106" s="405"/>
      <c r="I106" s="405"/>
      <c r="J106" s="405"/>
      <c r="K106" s="405"/>
      <c r="L106" s="405"/>
      <c r="M106" s="405"/>
      <c r="N106" s="405"/>
    </row>
    <row r="107" spans="1:14" ht="15.75">
      <c r="A107" s="403" t="s">
        <v>181</v>
      </c>
      <c r="B107" s="403" t="s">
        <v>286</v>
      </c>
      <c r="C107" s="403" t="s">
        <v>126</v>
      </c>
      <c r="D107" s="404">
        <v>66393</v>
      </c>
      <c r="E107" s="404">
        <v>106393</v>
      </c>
      <c r="F107" s="405"/>
      <c r="G107" s="405"/>
      <c r="H107" s="405"/>
      <c r="I107" s="405"/>
      <c r="J107" s="405"/>
      <c r="K107" s="405"/>
      <c r="L107" s="405"/>
      <c r="M107" s="405"/>
      <c r="N107" s="405"/>
    </row>
    <row r="108" spans="1:14" ht="15.75">
      <c r="A108" s="403" t="s">
        <v>251</v>
      </c>
      <c r="B108" s="403" t="s">
        <v>252</v>
      </c>
      <c r="C108" s="403" t="s">
        <v>126</v>
      </c>
      <c r="D108" s="404">
        <v>26000</v>
      </c>
      <c r="E108" s="404">
        <v>25933.42</v>
      </c>
      <c r="F108" s="405"/>
      <c r="G108" s="405"/>
      <c r="H108" s="405"/>
      <c r="I108" s="405"/>
      <c r="J108" s="405"/>
      <c r="K108" s="405"/>
      <c r="L108" s="405"/>
      <c r="M108" s="405"/>
      <c r="N108" s="405"/>
    </row>
    <row r="109" spans="1:14" ht="15.75">
      <c r="A109" s="403" t="s">
        <v>251</v>
      </c>
      <c r="B109" s="403" t="s">
        <v>283</v>
      </c>
      <c r="C109" s="403" t="s">
        <v>126</v>
      </c>
      <c r="D109" s="404">
        <v>20740</v>
      </c>
      <c r="E109" s="404">
        <v>20743.49</v>
      </c>
      <c r="F109" s="405"/>
      <c r="G109" s="405"/>
      <c r="H109" s="405"/>
      <c r="I109" s="405"/>
      <c r="J109" s="405"/>
      <c r="K109" s="405"/>
      <c r="L109" s="405"/>
      <c r="M109" s="405"/>
      <c r="N109" s="405"/>
    </row>
    <row r="110" spans="1:14" ht="15.75">
      <c r="A110" s="403" t="s">
        <v>265</v>
      </c>
      <c r="B110" s="403" t="s">
        <v>278</v>
      </c>
      <c r="C110" s="403" t="s">
        <v>126</v>
      </c>
      <c r="D110" s="404">
        <v>634</v>
      </c>
      <c r="E110" s="404">
        <v>671.61</v>
      </c>
      <c r="F110" s="405"/>
      <c r="G110" s="405"/>
      <c r="H110" s="405"/>
      <c r="I110" s="405"/>
      <c r="J110" s="405"/>
      <c r="K110" s="405"/>
      <c r="L110" s="405"/>
      <c r="M110" s="405"/>
      <c r="N110" s="405"/>
    </row>
    <row r="111" spans="1:14" ht="15.75">
      <c r="A111" s="403" t="s">
        <v>265</v>
      </c>
      <c r="B111" s="403" t="s">
        <v>266</v>
      </c>
      <c r="C111" s="403" t="s">
        <v>126</v>
      </c>
      <c r="D111" s="404">
        <v>18989.09</v>
      </c>
      <c r="E111" s="404">
        <v>18903.61</v>
      </c>
      <c r="F111" s="405"/>
      <c r="G111" s="405"/>
      <c r="H111" s="405"/>
      <c r="I111" s="405"/>
      <c r="J111" s="405"/>
      <c r="K111" s="405"/>
      <c r="L111" s="405"/>
      <c r="M111" s="405"/>
      <c r="N111" s="405"/>
    </row>
    <row r="112" spans="1:14" ht="15.75">
      <c r="A112" s="403" t="s">
        <v>265</v>
      </c>
      <c r="B112" s="403" t="s">
        <v>270</v>
      </c>
      <c r="C112" s="403" t="s">
        <v>126</v>
      </c>
      <c r="D112" s="404">
        <v>4550</v>
      </c>
      <c r="E112" s="404">
        <v>5196.04</v>
      </c>
      <c r="F112" s="405"/>
      <c r="G112" s="405"/>
      <c r="H112" s="405"/>
      <c r="I112" s="405"/>
      <c r="J112" s="405"/>
      <c r="K112" s="405"/>
      <c r="L112" s="405"/>
      <c r="M112" s="405"/>
      <c r="N112" s="405"/>
    </row>
    <row r="113" spans="1:14" ht="15.75">
      <c r="A113" s="403" t="s">
        <v>265</v>
      </c>
      <c r="B113" s="403" t="s">
        <v>273</v>
      </c>
      <c r="C113" s="403" t="s">
        <v>126</v>
      </c>
      <c r="D113" s="404">
        <v>2566</v>
      </c>
      <c r="E113" s="404">
        <v>2566.3</v>
      </c>
      <c r="F113" s="405"/>
      <c r="G113" s="405"/>
      <c r="H113" s="405"/>
      <c r="I113" s="405"/>
      <c r="J113" s="405"/>
      <c r="K113" s="405"/>
      <c r="L113" s="405"/>
      <c r="M113" s="405"/>
      <c r="N113" s="405"/>
    </row>
    <row r="114" spans="1:14" ht="15.75">
      <c r="A114" s="403"/>
      <c r="B114" s="403"/>
      <c r="C114" s="403"/>
      <c r="D114" s="404"/>
      <c r="E114" s="404"/>
      <c r="F114" s="405"/>
      <c r="G114" s="405"/>
      <c r="H114" s="405"/>
      <c r="I114" s="405"/>
      <c r="J114" s="405"/>
      <c r="K114" s="405"/>
      <c r="L114" s="405"/>
      <c r="M114" s="405"/>
      <c r="N114" s="405"/>
    </row>
    <row r="115" spans="1:14" ht="15.75">
      <c r="A115" s="403" t="s">
        <v>251</v>
      </c>
      <c r="B115" s="403" t="s">
        <v>252</v>
      </c>
      <c r="C115" s="403" t="s">
        <v>253</v>
      </c>
      <c r="D115" s="404">
        <v>3700</v>
      </c>
      <c r="E115" s="404">
        <v>3681.15</v>
      </c>
      <c r="F115" s="405"/>
      <c r="G115" s="405"/>
      <c r="H115" s="405"/>
      <c r="I115" s="405"/>
      <c r="J115" s="405"/>
      <c r="K115" s="405"/>
      <c r="L115" s="405"/>
      <c r="M115" s="405"/>
      <c r="N115" s="405"/>
    </row>
    <row r="116" spans="1:14" ht="15.75">
      <c r="A116" s="403" t="s">
        <v>241</v>
      </c>
      <c r="B116" s="403" t="s">
        <v>248</v>
      </c>
      <c r="C116" s="403" t="s">
        <v>146</v>
      </c>
      <c r="D116" s="404">
        <v>220794</v>
      </c>
      <c r="E116" s="404">
        <v>221013.27</v>
      </c>
      <c r="F116" s="405"/>
      <c r="G116" s="405"/>
      <c r="H116" s="405"/>
      <c r="I116" s="405"/>
      <c r="J116" s="405"/>
      <c r="K116" s="405"/>
      <c r="L116" s="405"/>
      <c r="M116" s="405"/>
      <c r="N116" s="405"/>
    </row>
    <row r="117" spans="1:14" ht="15.75">
      <c r="A117" s="403" t="s">
        <v>246</v>
      </c>
      <c r="B117" s="403" t="s">
        <v>247</v>
      </c>
      <c r="C117" s="403" t="s">
        <v>152</v>
      </c>
      <c r="D117" s="404">
        <v>4333</v>
      </c>
      <c r="E117" s="404">
        <v>4332.24</v>
      </c>
      <c r="F117" s="405"/>
      <c r="G117" s="405"/>
      <c r="H117" s="405"/>
      <c r="I117" s="405"/>
      <c r="J117" s="405"/>
      <c r="K117" s="405"/>
      <c r="L117" s="405"/>
      <c r="M117" s="405"/>
      <c r="N117" s="405"/>
    </row>
    <row r="118" spans="1:14" ht="15.75">
      <c r="A118" s="403" t="s">
        <v>254</v>
      </c>
      <c r="B118" s="403" t="s">
        <v>255</v>
      </c>
      <c r="C118" s="403" t="s">
        <v>256</v>
      </c>
      <c r="D118" s="404">
        <v>1725</v>
      </c>
      <c r="E118" s="404">
        <v>1725</v>
      </c>
      <c r="F118" s="405"/>
      <c r="G118" s="405"/>
      <c r="H118" s="405"/>
      <c r="I118" s="405"/>
      <c r="J118" s="405"/>
      <c r="K118" s="405"/>
      <c r="L118" s="405"/>
      <c r="M118" s="405"/>
      <c r="N118" s="405"/>
    </row>
    <row r="119" spans="1:14" ht="15.75">
      <c r="A119" s="403"/>
      <c r="B119" s="403"/>
      <c r="C119" s="403"/>
      <c r="D119" s="404"/>
      <c r="E119" s="404"/>
      <c r="F119" s="405"/>
      <c r="G119" s="405"/>
      <c r="H119" s="405"/>
      <c r="I119" s="405"/>
      <c r="J119" s="405"/>
      <c r="K119" s="405"/>
      <c r="L119" s="405"/>
      <c r="M119" s="405"/>
      <c r="N119" s="405"/>
    </row>
    <row r="120" spans="1:14" ht="15.75">
      <c r="A120" s="403" t="s">
        <v>241</v>
      </c>
      <c r="B120" s="403" t="s">
        <v>245</v>
      </c>
      <c r="C120" s="403" t="s">
        <v>143</v>
      </c>
      <c r="D120" s="404">
        <v>0</v>
      </c>
      <c r="E120" s="404">
        <v>287.13</v>
      </c>
      <c r="F120" s="405"/>
      <c r="G120" s="405"/>
      <c r="H120" s="405"/>
      <c r="I120" s="405"/>
      <c r="J120" s="405"/>
      <c r="K120" s="405"/>
      <c r="L120" s="405"/>
      <c r="M120" s="405"/>
      <c r="N120" s="405"/>
    </row>
    <row r="121" spans="1:14" ht="15.75">
      <c r="A121" s="403" t="s">
        <v>241</v>
      </c>
      <c r="B121" s="403" t="s">
        <v>243</v>
      </c>
      <c r="C121" s="403" t="s">
        <v>143</v>
      </c>
      <c r="D121" s="404">
        <v>15500</v>
      </c>
      <c r="E121" s="404">
        <v>15826.53</v>
      </c>
      <c r="F121" s="405"/>
      <c r="G121" s="405"/>
      <c r="H121" s="405"/>
      <c r="I121" s="405"/>
      <c r="J121" s="405"/>
      <c r="K121" s="405"/>
      <c r="L121" s="405"/>
      <c r="M121" s="405"/>
      <c r="N121" s="405"/>
    </row>
    <row r="122" spans="1:14" ht="15.75">
      <c r="A122" s="403" t="s">
        <v>241</v>
      </c>
      <c r="B122" s="403" t="s">
        <v>244</v>
      </c>
      <c r="C122" s="403" t="s">
        <v>143</v>
      </c>
      <c r="D122" s="404">
        <v>20000</v>
      </c>
      <c r="E122" s="404">
        <v>43018.99</v>
      </c>
      <c r="F122" s="405"/>
      <c r="G122" s="405"/>
      <c r="H122" s="405"/>
      <c r="I122" s="405"/>
      <c r="J122" s="405"/>
      <c r="K122" s="405"/>
      <c r="L122" s="405"/>
      <c r="M122" s="405"/>
      <c r="N122" s="405"/>
    </row>
    <row r="123" spans="1:14" ht="15.75">
      <c r="A123" s="403"/>
      <c r="B123" s="403"/>
      <c r="C123" s="403"/>
      <c r="D123" s="404"/>
      <c r="E123" s="404"/>
      <c r="F123" s="405"/>
      <c r="G123" s="405"/>
      <c r="H123" s="405"/>
      <c r="I123" s="405"/>
      <c r="J123" s="405"/>
      <c r="K123" s="405"/>
      <c r="L123" s="405"/>
      <c r="M123" s="405"/>
      <c r="N123" s="405"/>
    </row>
    <row r="124" spans="1:14" ht="15.75">
      <c r="A124" s="403" t="s">
        <v>265</v>
      </c>
      <c r="B124" s="403" t="s">
        <v>266</v>
      </c>
      <c r="C124" s="403" t="s">
        <v>150</v>
      </c>
      <c r="D124" s="404">
        <v>3700</v>
      </c>
      <c r="E124" s="404">
        <v>3459.64</v>
      </c>
      <c r="F124" s="405"/>
      <c r="G124" s="405"/>
      <c r="H124" s="405"/>
      <c r="I124" s="405"/>
      <c r="J124" s="405"/>
      <c r="K124" s="405"/>
      <c r="L124" s="405"/>
      <c r="M124" s="405"/>
      <c r="N124" s="405"/>
    </row>
    <row r="125" spans="1:14" ht="15.75">
      <c r="A125" s="403"/>
      <c r="B125" s="403"/>
      <c r="C125" s="403"/>
      <c r="D125" s="404"/>
      <c r="E125" s="404"/>
      <c r="F125" s="405"/>
      <c r="G125" s="405"/>
      <c r="H125" s="405"/>
      <c r="I125" s="405"/>
      <c r="J125" s="405"/>
      <c r="K125" s="405"/>
      <c r="L125" s="405"/>
      <c r="M125" s="405"/>
      <c r="N125" s="405"/>
    </row>
    <row r="126" spans="1:14" ht="15.75">
      <c r="A126" s="403" t="s">
        <v>267</v>
      </c>
      <c r="B126" s="403" t="s">
        <v>268</v>
      </c>
      <c r="C126" s="403" t="s">
        <v>150</v>
      </c>
      <c r="D126" s="404">
        <v>30000</v>
      </c>
      <c r="E126" s="404">
        <f>31553.39-28.15</f>
        <v>31525.239999999998</v>
      </c>
      <c r="F126" s="405"/>
      <c r="G126" s="405">
        <v>46229631.29</v>
      </c>
      <c r="H126" s="405"/>
      <c r="I126" s="405"/>
      <c r="J126" s="405"/>
      <c r="K126" s="405"/>
      <c r="L126" s="405"/>
      <c r="M126" s="405"/>
      <c r="N126" s="405"/>
    </row>
    <row r="127" spans="1:14" ht="15.75">
      <c r="A127" s="403"/>
      <c r="B127" s="403"/>
      <c r="C127" s="403"/>
      <c r="D127" s="404"/>
      <c r="E127" s="404"/>
      <c r="F127" s="405"/>
      <c r="G127" s="405">
        <v>-46229603.14</v>
      </c>
      <c r="H127" s="405"/>
      <c r="I127" s="405"/>
      <c r="J127" s="405"/>
      <c r="K127" s="405"/>
      <c r="L127" s="405"/>
      <c r="M127" s="405"/>
      <c r="N127" s="405"/>
    </row>
    <row r="128" spans="1:14" ht="15.75">
      <c r="A128" s="403" t="s">
        <v>68</v>
      </c>
      <c r="B128" s="403" t="s">
        <v>69</v>
      </c>
      <c r="C128" s="403" t="s">
        <v>463</v>
      </c>
      <c r="D128" s="404">
        <v>3100</v>
      </c>
      <c r="E128" s="404">
        <v>2765.99</v>
      </c>
      <c r="F128" s="405"/>
      <c r="G128" s="405">
        <f>SUM(G126:G127)</f>
        <v>28.149999998509884</v>
      </c>
      <c r="H128" s="405"/>
      <c r="I128" s="405"/>
      <c r="J128" s="405"/>
      <c r="K128" s="405"/>
      <c r="L128" s="405"/>
      <c r="M128" s="405"/>
      <c r="N128" s="405"/>
    </row>
    <row r="129" spans="1:14" ht="15.75">
      <c r="A129" s="403" t="s">
        <v>68</v>
      </c>
      <c r="B129" s="403" t="s">
        <v>69</v>
      </c>
      <c r="C129" s="403" t="s">
        <v>126</v>
      </c>
      <c r="D129" s="404">
        <v>7000</v>
      </c>
      <c r="E129" s="404">
        <v>7243.84</v>
      </c>
      <c r="F129" s="405"/>
      <c r="G129" s="405"/>
      <c r="H129" s="405"/>
      <c r="I129" s="405"/>
      <c r="J129" s="405"/>
      <c r="K129" s="405"/>
      <c r="L129" s="405"/>
      <c r="M129" s="405"/>
      <c r="N129" s="405"/>
    </row>
    <row r="130" spans="1:14" ht="15.75">
      <c r="A130" s="403"/>
      <c r="B130" s="403"/>
      <c r="C130" s="403"/>
      <c r="D130" s="404"/>
      <c r="E130" s="404"/>
      <c r="F130" s="405"/>
      <c r="G130" s="405"/>
      <c r="H130" s="405"/>
      <c r="I130" s="405"/>
      <c r="J130" s="405"/>
      <c r="K130" s="405"/>
      <c r="L130" s="405"/>
      <c r="M130" s="405"/>
      <c r="N130" s="405"/>
    </row>
    <row r="131" spans="1:14" ht="15.75">
      <c r="A131" s="403" t="s">
        <v>251</v>
      </c>
      <c r="B131" s="403" t="s">
        <v>252</v>
      </c>
      <c r="C131" s="403" t="s">
        <v>127</v>
      </c>
      <c r="D131" s="404">
        <v>23896</v>
      </c>
      <c r="E131" s="404">
        <v>24111.59</v>
      </c>
      <c r="F131" s="405"/>
      <c r="G131" s="405"/>
      <c r="H131" s="405"/>
      <c r="I131" s="405"/>
      <c r="J131" s="405"/>
      <c r="K131" s="405"/>
      <c r="L131" s="405"/>
      <c r="M131" s="405"/>
      <c r="N131" s="405"/>
    </row>
    <row r="132" spans="1:14" ht="15.75">
      <c r="A132" s="403" t="s">
        <v>251</v>
      </c>
      <c r="B132" s="403" t="s">
        <v>283</v>
      </c>
      <c r="C132" s="403" t="s">
        <v>127</v>
      </c>
      <c r="D132" s="404">
        <v>6350</v>
      </c>
      <c r="E132" s="404">
        <v>6350.2</v>
      </c>
      <c r="F132" s="405"/>
      <c r="G132" s="405"/>
      <c r="H132" s="405"/>
      <c r="I132" s="405"/>
      <c r="J132" s="405"/>
      <c r="K132" s="405"/>
      <c r="L132" s="405"/>
      <c r="M132" s="405"/>
      <c r="N132" s="405"/>
    </row>
    <row r="133" spans="1:14" ht="15.75">
      <c r="A133" s="403"/>
      <c r="B133" s="403"/>
      <c r="C133" s="403"/>
      <c r="D133" s="404"/>
      <c r="E133" s="404"/>
      <c r="F133" s="405"/>
      <c r="G133" s="405"/>
      <c r="H133" s="405"/>
      <c r="I133" s="405"/>
      <c r="J133" s="405"/>
      <c r="K133" s="405"/>
      <c r="L133" s="405"/>
      <c r="M133" s="405"/>
      <c r="N133" s="405"/>
    </row>
    <row r="134" spans="1:14" ht="15.75">
      <c r="A134" s="403" t="s">
        <v>241</v>
      </c>
      <c r="B134" s="403" t="s">
        <v>243</v>
      </c>
      <c r="C134" s="403" t="s">
        <v>285</v>
      </c>
      <c r="D134" s="404">
        <v>522951</v>
      </c>
      <c r="E134" s="404">
        <v>522951</v>
      </c>
      <c r="F134" s="405"/>
      <c r="G134" s="405"/>
      <c r="H134" s="405"/>
      <c r="I134" s="405"/>
      <c r="J134" s="405"/>
      <c r="K134" s="405"/>
      <c r="L134" s="405"/>
      <c r="M134" s="405"/>
      <c r="N134" s="405"/>
    </row>
    <row r="135" spans="1:14" ht="15.75">
      <c r="A135" s="232"/>
      <c r="B135" s="232"/>
      <c r="C135" s="232"/>
      <c r="D135" s="232"/>
      <c r="E135" s="232"/>
      <c r="F135" s="405"/>
      <c r="G135" s="405"/>
      <c r="H135" s="405"/>
      <c r="I135" s="405"/>
      <c r="J135" s="405"/>
      <c r="K135" s="405"/>
      <c r="L135" s="405"/>
      <c r="M135" s="405"/>
      <c r="N135" s="405"/>
    </row>
    <row r="136" spans="1:14" ht="15.75">
      <c r="A136" s="403" t="s">
        <v>181</v>
      </c>
      <c r="B136" s="403" t="s">
        <v>286</v>
      </c>
      <c r="C136" s="403" t="s">
        <v>466</v>
      </c>
      <c r="D136" s="404">
        <v>245500</v>
      </c>
      <c r="E136" s="404">
        <v>245110.02</v>
      </c>
      <c r="F136" s="405"/>
      <c r="G136" s="405"/>
      <c r="H136" s="405"/>
      <c r="I136" s="405"/>
      <c r="J136" s="405"/>
      <c r="K136" s="405"/>
      <c r="L136" s="405"/>
      <c r="M136" s="405"/>
      <c r="N136" s="405"/>
    </row>
    <row r="137" spans="1:14" ht="15.75">
      <c r="A137" s="403"/>
      <c r="B137" s="403"/>
      <c r="C137" s="403"/>
      <c r="D137" s="404"/>
      <c r="E137" s="404"/>
      <c r="F137" s="405"/>
      <c r="G137" s="405"/>
      <c r="H137" s="405"/>
      <c r="I137" s="405"/>
      <c r="J137" s="405"/>
      <c r="K137" s="405"/>
      <c r="L137" s="405"/>
      <c r="M137" s="405"/>
      <c r="N137" s="405"/>
    </row>
    <row r="138" spans="1:14" ht="15.75">
      <c r="A138" s="403" t="s">
        <v>181</v>
      </c>
      <c r="B138" s="403" t="s">
        <v>286</v>
      </c>
      <c r="C138" s="403" t="s">
        <v>465</v>
      </c>
      <c r="D138" s="404">
        <v>1517922.49</v>
      </c>
      <c r="E138" s="404">
        <v>1517921.62</v>
      </c>
      <c r="F138" s="405"/>
      <c r="G138" s="405"/>
      <c r="H138" s="405"/>
      <c r="I138" s="405"/>
      <c r="J138" s="405"/>
      <c r="K138" s="405"/>
      <c r="L138" s="405"/>
      <c r="M138" s="405"/>
      <c r="N138" s="405"/>
    </row>
    <row r="139" spans="1:14" ht="15.75">
      <c r="A139" s="403"/>
      <c r="B139" s="403"/>
      <c r="C139" s="403"/>
      <c r="D139" s="404"/>
      <c r="E139" s="404"/>
      <c r="F139" s="405"/>
      <c r="G139" s="405"/>
      <c r="H139" s="405"/>
      <c r="I139" s="405"/>
      <c r="J139" s="405"/>
      <c r="K139" s="405"/>
      <c r="L139" s="405"/>
      <c r="M139" s="405"/>
      <c r="N139" s="405"/>
    </row>
    <row r="140" spans="1:14" ht="15.75">
      <c r="A140" s="403" t="s">
        <v>331</v>
      </c>
      <c r="B140" s="403" t="s">
        <v>334</v>
      </c>
      <c r="C140" s="403" t="s">
        <v>465</v>
      </c>
      <c r="D140" s="404">
        <v>33365.15</v>
      </c>
      <c r="E140" s="404">
        <v>33365.15</v>
      </c>
      <c r="F140" s="405"/>
      <c r="G140" s="405"/>
      <c r="H140" s="405"/>
      <c r="I140" s="405"/>
      <c r="J140" s="405"/>
      <c r="K140" s="405"/>
      <c r="L140" s="405"/>
      <c r="M140" s="405"/>
      <c r="N140" s="405"/>
    </row>
    <row r="141" spans="1:14" ht="15.75">
      <c r="A141" s="403"/>
      <c r="B141" s="403"/>
      <c r="C141" s="403"/>
      <c r="D141" s="404"/>
      <c r="E141" s="404"/>
      <c r="F141" s="405"/>
      <c r="G141" s="405"/>
      <c r="H141" s="405"/>
      <c r="I141" s="405"/>
      <c r="J141" s="405"/>
      <c r="K141" s="405"/>
      <c r="L141" s="405"/>
      <c r="M141" s="405"/>
      <c r="N141" s="405"/>
    </row>
    <row r="142" spans="1:14" ht="15.75">
      <c r="A142" s="403" t="s">
        <v>257</v>
      </c>
      <c r="B142" s="403" t="s">
        <v>468</v>
      </c>
      <c r="C142" s="403" t="s">
        <v>290</v>
      </c>
      <c r="D142" s="404">
        <v>160519.91</v>
      </c>
      <c r="E142" s="404">
        <v>359605.84</v>
      </c>
      <c r="F142" s="405"/>
      <c r="G142" s="405"/>
      <c r="H142" s="405"/>
      <c r="I142" s="405"/>
      <c r="J142" s="405"/>
      <c r="K142" s="405"/>
      <c r="L142" s="405"/>
      <c r="M142" s="405"/>
      <c r="N142" s="405"/>
    </row>
    <row r="143" spans="1:14" ht="15.75">
      <c r="A143" s="403"/>
      <c r="B143" s="403"/>
      <c r="C143" s="403"/>
      <c r="D143" s="404"/>
      <c r="E143" s="404"/>
      <c r="F143" s="405"/>
      <c r="G143" s="405"/>
      <c r="H143" s="405"/>
      <c r="I143" s="405"/>
      <c r="J143" s="405"/>
      <c r="K143" s="405"/>
      <c r="L143" s="405"/>
      <c r="M143" s="405"/>
      <c r="N143" s="405"/>
    </row>
    <row r="144" spans="1:14" ht="15.75">
      <c r="A144" s="403" t="s">
        <v>204</v>
      </c>
      <c r="B144" s="403" t="s">
        <v>261</v>
      </c>
      <c r="C144" s="403" t="s">
        <v>290</v>
      </c>
      <c r="D144" s="404">
        <v>1172722.18</v>
      </c>
      <c r="E144" s="404">
        <v>1306746.64</v>
      </c>
      <c r="F144" s="405"/>
      <c r="G144" s="405"/>
      <c r="H144" s="405"/>
      <c r="I144" s="405"/>
      <c r="J144" s="405"/>
      <c r="K144" s="405"/>
      <c r="L144" s="405"/>
      <c r="M144" s="405"/>
      <c r="N144" s="405"/>
    </row>
    <row r="145" spans="1:14" ht="15.75">
      <c r="A145" s="403"/>
      <c r="B145" s="403"/>
      <c r="C145" s="403"/>
      <c r="D145" s="404"/>
      <c r="E145" s="404"/>
      <c r="F145" s="405"/>
      <c r="G145" s="405"/>
      <c r="H145" s="405"/>
      <c r="I145" s="405"/>
      <c r="J145" s="405"/>
      <c r="K145" s="405"/>
      <c r="L145" s="405"/>
      <c r="M145" s="405"/>
      <c r="N145" s="405"/>
    </row>
    <row r="146" spans="1:5" ht="15.75">
      <c r="A146" s="403" t="s">
        <v>263</v>
      </c>
      <c r="B146" s="403" t="s">
        <v>362</v>
      </c>
      <c r="C146" s="403" t="s">
        <v>342</v>
      </c>
      <c r="D146" s="404">
        <v>15000</v>
      </c>
      <c r="E146" s="404">
        <v>15000</v>
      </c>
    </row>
    <row r="147" spans="1:5" ht="12.75">
      <c r="A147" s="232"/>
      <c r="B147" s="232"/>
      <c r="C147" s="232"/>
      <c r="D147" s="232"/>
      <c r="E147" s="232"/>
    </row>
    <row r="148" spans="1:5" ht="15.75">
      <c r="A148" s="403" t="s">
        <v>204</v>
      </c>
      <c r="B148" s="403" t="s">
        <v>261</v>
      </c>
      <c r="C148" s="403" t="s">
        <v>165</v>
      </c>
      <c r="D148" s="404">
        <v>36279.75</v>
      </c>
      <c r="E148" s="404">
        <v>36279.75</v>
      </c>
    </row>
    <row r="149" spans="1:5" ht="15.75">
      <c r="A149" s="403" t="s">
        <v>204</v>
      </c>
      <c r="B149" s="403" t="s">
        <v>262</v>
      </c>
      <c r="C149" s="403" t="s">
        <v>165</v>
      </c>
      <c r="D149" s="404">
        <v>15000</v>
      </c>
      <c r="E149" s="404">
        <v>15000</v>
      </c>
    </row>
    <row r="150" spans="1:5" ht="15.75">
      <c r="A150" s="403"/>
      <c r="B150" s="403"/>
      <c r="C150" s="403"/>
      <c r="D150" s="404"/>
      <c r="E150" s="404"/>
    </row>
    <row r="151" spans="1:5" ht="15.75">
      <c r="A151" s="403" t="s">
        <v>249</v>
      </c>
      <c r="B151" s="403" t="s">
        <v>250</v>
      </c>
      <c r="C151" s="403" t="s">
        <v>469</v>
      </c>
      <c r="D151" s="404">
        <v>66000</v>
      </c>
      <c r="E151" s="404">
        <v>76159.45</v>
      </c>
    </row>
    <row r="152" spans="1:5" ht="15.75">
      <c r="A152" s="403" t="s">
        <v>249</v>
      </c>
      <c r="B152" s="403" t="s">
        <v>250</v>
      </c>
      <c r="C152" s="403" t="s">
        <v>130</v>
      </c>
      <c r="D152" s="404">
        <v>646930</v>
      </c>
      <c r="E152" s="404">
        <v>661448.31</v>
      </c>
    </row>
    <row r="153" spans="1:5" ht="15.75">
      <c r="A153" s="403" t="s">
        <v>257</v>
      </c>
      <c r="B153" s="403" t="s">
        <v>258</v>
      </c>
      <c r="C153" s="403" t="s">
        <v>161</v>
      </c>
      <c r="D153" s="404">
        <v>166000</v>
      </c>
      <c r="E153" s="404">
        <v>164600.92</v>
      </c>
    </row>
    <row r="154" spans="1:5" ht="15.75">
      <c r="A154" s="403" t="s">
        <v>204</v>
      </c>
      <c r="B154" s="403" t="s">
        <v>262</v>
      </c>
      <c r="C154" s="403" t="s">
        <v>161</v>
      </c>
      <c r="D154" s="404">
        <v>180000</v>
      </c>
      <c r="E154" s="404">
        <v>194802.81</v>
      </c>
    </row>
    <row r="155" spans="1:5" ht="15.75">
      <c r="A155" s="403" t="s">
        <v>263</v>
      </c>
      <c r="B155" s="403" t="s">
        <v>264</v>
      </c>
      <c r="C155" s="403" t="s">
        <v>161</v>
      </c>
      <c r="D155" s="404">
        <v>2303</v>
      </c>
      <c r="E155" s="404">
        <v>2302</v>
      </c>
    </row>
  </sheetData>
  <printOptions/>
  <pageMargins left="0.75" right="0.24" top="0.31" bottom="0.27" header="0.18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showGridLines="0" workbookViewId="0" topLeftCell="A70">
      <selection activeCell="A110" sqref="A110:IV111"/>
    </sheetView>
  </sheetViews>
  <sheetFormatPr defaultColWidth="9.00390625" defaultRowHeight="12.75" customHeight="1"/>
  <cols>
    <col min="1" max="2" width="5.00390625" style="39" customWidth="1"/>
    <col min="3" max="3" width="50.125" style="2" customWidth="1"/>
    <col min="4" max="5" width="13.25390625" style="91" customWidth="1"/>
    <col min="6" max="6" width="6.625" style="459" customWidth="1"/>
    <col min="7" max="7" width="5.75390625" style="1" customWidth="1"/>
    <col min="8" max="8" width="15.375" style="3" customWidth="1"/>
    <col min="9" max="16384" width="9.125" style="1" customWidth="1"/>
  </cols>
  <sheetData>
    <row r="1" spans="1:6" ht="12.75" customHeight="1">
      <c r="A1" s="540" t="s">
        <v>114</v>
      </c>
      <c r="B1" s="540"/>
      <c r="C1" s="540"/>
      <c r="D1" s="540"/>
      <c r="E1" s="540"/>
      <c r="F1" s="540"/>
    </row>
    <row r="2" spans="1:6" ht="12.75" customHeight="1">
      <c r="A2" s="1"/>
      <c r="B2" s="541" t="s">
        <v>544</v>
      </c>
      <c r="C2" s="541"/>
      <c r="D2" s="541"/>
      <c r="E2" s="541"/>
      <c r="F2" s="541"/>
    </row>
    <row r="4" spans="1:6" ht="12.75" customHeight="1">
      <c r="A4" s="136" t="s">
        <v>0</v>
      </c>
      <c r="B4" s="136" t="s">
        <v>1</v>
      </c>
      <c r="C4" s="121" t="s">
        <v>2</v>
      </c>
      <c r="D4" s="122" t="s">
        <v>429</v>
      </c>
      <c r="E4" s="120" t="s">
        <v>239</v>
      </c>
      <c r="F4" s="445" t="s">
        <v>234</v>
      </c>
    </row>
    <row r="5" spans="1:8" ht="12.75" customHeight="1">
      <c r="A5" s="546" t="s">
        <v>416</v>
      </c>
      <c r="B5" s="547"/>
      <c r="C5" s="303" t="s">
        <v>417</v>
      </c>
      <c r="D5" s="122">
        <f>D6+D19+D22+D45+D50+D54+D23</f>
        <v>41166214.910000004</v>
      </c>
      <c r="E5" s="188">
        <f>E6+E19+E22+E45+E50+E54+E23</f>
        <v>41601260.63</v>
      </c>
      <c r="F5" s="446">
        <f>E5/D5%</f>
        <v>101.05680281986362</v>
      </c>
      <c r="H5" s="326"/>
    </row>
    <row r="6" spans="1:8" ht="12.75" customHeight="1">
      <c r="A6" s="69">
        <v>1</v>
      </c>
      <c r="B6" s="74"/>
      <c r="C6" s="304" t="s">
        <v>183</v>
      </c>
      <c r="D6" s="94">
        <f>D7+D8+D9+D10+D11+D12+D13+D14+D15+D16+D17+D18</f>
        <v>6950613.77</v>
      </c>
      <c r="E6" s="166">
        <f>E7+E8+E9+E10+E11+E12+E13+E14+E15+E16+E17+E18</f>
        <v>7051656.659999999</v>
      </c>
      <c r="F6" s="447">
        <f aca="true" t="shared" si="0" ref="F6:F108">E6/D6%</f>
        <v>101.45372615057562</v>
      </c>
      <c r="H6" s="326"/>
    </row>
    <row r="7" spans="1:8" ht="12.75" customHeight="1">
      <c r="A7" s="72"/>
      <c r="B7" s="71">
        <v>756</v>
      </c>
      <c r="C7" s="305" t="s">
        <v>134</v>
      </c>
      <c r="D7" s="95">
        <f>'FK-doch'!D1+'FK-doch'!D2</f>
        <v>5092513.77</v>
      </c>
      <c r="E7" s="95">
        <f>'FK-doch'!E1+'FK-doch'!E2</f>
        <v>5164467</v>
      </c>
      <c r="F7" s="448">
        <f t="shared" si="0"/>
        <v>101.41292165813822</v>
      </c>
      <c r="H7" s="326"/>
    </row>
    <row r="8" spans="1:8" ht="12.75" customHeight="1">
      <c r="A8" s="72"/>
      <c r="B8" s="71">
        <v>756</v>
      </c>
      <c r="C8" s="305" t="s">
        <v>136</v>
      </c>
      <c r="D8" s="95">
        <f>'FK-doch'!D4+'FK-doch'!D5</f>
        <v>348500</v>
      </c>
      <c r="E8" s="95">
        <f>'FK-doch'!E4+'FK-doch'!E5</f>
        <v>352791.17000000004</v>
      </c>
      <c r="F8" s="448">
        <f t="shared" si="0"/>
        <v>101.23132568149212</v>
      </c>
      <c r="H8" s="326"/>
    </row>
    <row r="9" spans="1:8" ht="12.75" customHeight="1">
      <c r="A9" s="72"/>
      <c r="B9" s="71">
        <v>756</v>
      </c>
      <c r="C9" s="305" t="s">
        <v>13</v>
      </c>
      <c r="D9" s="95">
        <f>'FK-doch'!D7+'FK-doch'!D8</f>
        <v>476800</v>
      </c>
      <c r="E9" s="95">
        <f>'FK-doch'!E7+'FK-doch'!E8</f>
        <v>478490.65</v>
      </c>
      <c r="F9" s="448">
        <f t="shared" si="0"/>
        <v>100.3545826342282</v>
      </c>
      <c r="H9" s="326"/>
    </row>
    <row r="10" spans="1:8" ht="12.75" customHeight="1">
      <c r="A10" s="72"/>
      <c r="B10" s="71">
        <v>756</v>
      </c>
      <c r="C10" s="305" t="s">
        <v>184</v>
      </c>
      <c r="D10" s="95">
        <f>'FK-doch'!D10+'FK-doch'!D11</f>
        <v>232400</v>
      </c>
      <c r="E10" s="95">
        <f>'FK-doch'!E10+'FK-doch'!E11</f>
        <v>234331.06</v>
      </c>
      <c r="F10" s="448">
        <f t="shared" si="0"/>
        <v>100.83092082616179</v>
      </c>
      <c r="H10" s="326"/>
    </row>
    <row r="11" spans="1:8" ht="12.75" customHeight="1">
      <c r="A11" s="72"/>
      <c r="B11" s="71">
        <v>756</v>
      </c>
      <c r="C11" s="305" t="s">
        <v>20</v>
      </c>
      <c r="D11" s="95">
        <f>'FK-doch'!D13</f>
        <v>25200</v>
      </c>
      <c r="E11" s="95">
        <f>'FK-doch'!E13</f>
        <v>26586.53</v>
      </c>
      <c r="F11" s="448">
        <f t="shared" si="0"/>
        <v>105.50210317460316</v>
      </c>
      <c r="H11" s="326"/>
    </row>
    <row r="12" spans="1:8" ht="12.75" customHeight="1">
      <c r="A12" s="72"/>
      <c r="B12" s="71">
        <v>756</v>
      </c>
      <c r="C12" s="306" t="s">
        <v>549</v>
      </c>
      <c r="D12" s="95">
        <f>'FK-doch'!D15</f>
        <v>7000</v>
      </c>
      <c r="E12" s="95">
        <f>'FK-doch'!E15</f>
        <v>7121</v>
      </c>
      <c r="F12" s="448">
        <f t="shared" si="0"/>
        <v>101.72857142857143</v>
      </c>
      <c r="H12" s="326"/>
    </row>
    <row r="13" spans="1:8" ht="12.75" customHeight="1">
      <c r="A13" s="72"/>
      <c r="B13" s="71">
        <v>756</v>
      </c>
      <c r="C13" s="305" t="s">
        <v>14</v>
      </c>
      <c r="D13" s="95">
        <f>'FK-doch'!D17</f>
        <v>36200</v>
      </c>
      <c r="E13" s="95">
        <f>'FK-doch'!E17</f>
        <v>37119.64</v>
      </c>
      <c r="F13" s="448">
        <f t="shared" si="0"/>
        <v>102.54044198895028</v>
      </c>
      <c r="H13" s="326"/>
    </row>
    <row r="14" spans="1:8" ht="12.75" customHeight="1">
      <c r="A14" s="72"/>
      <c r="B14" s="71">
        <v>756</v>
      </c>
      <c r="C14" s="305" t="s">
        <v>15</v>
      </c>
      <c r="D14" s="95">
        <f>'FK-doch'!D19+'FK-doch'!D20</f>
        <v>339000</v>
      </c>
      <c r="E14" s="95">
        <f>'FK-doch'!E19+'FK-doch'!E20</f>
        <v>347927</v>
      </c>
      <c r="F14" s="448">
        <f t="shared" si="0"/>
        <v>102.63333333333334</v>
      </c>
      <c r="H14" s="326"/>
    </row>
    <row r="15" spans="1:8" ht="12.75" customHeight="1">
      <c r="A15" s="72"/>
      <c r="B15" s="71">
        <v>756</v>
      </c>
      <c r="C15" s="305" t="s">
        <v>86</v>
      </c>
      <c r="D15" s="95">
        <f>'FK-doch'!D22</f>
        <v>179000</v>
      </c>
      <c r="E15" s="95">
        <f>'FK-doch'!E22</f>
        <v>180763.01</v>
      </c>
      <c r="F15" s="448">
        <f t="shared" si="0"/>
        <v>100.9849217877095</v>
      </c>
      <c r="H15" s="326"/>
    </row>
    <row r="16" spans="1:8" ht="12.75" customHeight="1">
      <c r="A16" s="72"/>
      <c r="B16" s="71">
        <v>756</v>
      </c>
      <c r="C16" s="305" t="s">
        <v>185</v>
      </c>
      <c r="D16" s="95">
        <f>'FK-doch'!D24</f>
        <v>113000</v>
      </c>
      <c r="E16" s="95">
        <f>'FK-doch'!E24</f>
        <v>117322.6</v>
      </c>
      <c r="F16" s="448">
        <f t="shared" si="0"/>
        <v>103.82530973451328</v>
      </c>
      <c r="H16" s="326"/>
    </row>
    <row r="17" spans="1:8" ht="12.75" customHeight="1">
      <c r="A17" s="72"/>
      <c r="B17" s="71">
        <v>756</v>
      </c>
      <c r="C17" s="306" t="s">
        <v>186</v>
      </c>
      <c r="D17" s="95">
        <f>'FK-doch'!D26+'FK-doch'!D27</f>
        <v>5000</v>
      </c>
      <c r="E17" s="95">
        <f>'FK-doch'!E26+'FK-doch'!E27</f>
        <v>8842</v>
      </c>
      <c r="F17" s="448">
        <f t="shared" si="0"/>
        <v>176.84</v>
      </c>
      <c r="H17" s="326"/>
    </row>
    <row r="18" spans="1:8" ht="12.75" customHeight="1">
      <c r="A18" s="61"/>
      <c r="B18" s="5">
        <v>756</v>
      </c>
      <c r="C18" s="307" t="s">
        <v>16</v>
      </c>
      <c r="D18" s="96">
        <f>'FK-doch'!D29</f>
        <v>96000</v>
      </c>
      <c r="E18" s="96">
        <f>'FK-doch'!E29</f>
        <v>95895</v>
      </c>
      <c r="F18" s="449">
        <f t="shared" si="0"/>
        <v>99.890625</v>
      </c>
      <c r="H18" s="326"/>
    </row>
    <row r="19" spans="1:8" ht="12.75" customHeight="1">
      <c r="A19" s="74">
        <v>2</v>
      </c>
      <c r="B19" s="308"/>
      <c r="C19" s="309" t="s">
        <v>169</v>
      </c>
      <c r="D19" s="310">
        <f>D20+D21</f>
        <v>4909296</v>
      </c>
      <c r="E19" s="324">
        <f>E20+E21</f>
        <v>5023874.96</v>
      </c>
      <c r="F19" s="447">
        <f t="shared" si="0"/>
        <v>102.33391834592985</v>
      </c>
      <c r="H19" s="326"/>
    </row>
    <row r="20" spans="1:8" ht="12.75" customHeight="1">
      <c r="A20" s="71"/>
      <c r="B20" s="71">
        <v>756</v>
      </c>
      <c r="C20" s="90" t="s">
        <v>17</v>
      </c>
      <c r="D20" s="95">
        <f>'FK-doch'!D31</f>
        <v>4578196</v>
      </c>
      <c r="E20" s="95">
        <f>'FK-doch'!E31</f>
        <v>4643355</v>
      </c>
      <c r="F20" s="448">
        <f t="shared" si="0"/>
        <v>101.42324618692604</v>
      </c>
      <c r="H20" s="326"/>
    </row>
    <row r="21" spans="1:8" ht="12.75" customHeight="1">
      <c r="A21" s="5"/>
      <c r="B21" s="5">
        <v>756</v>
      </c>
      <c r="C21" s="311" t="s">
        <v>18</v>
      </c>
      <c r="D21" s="95">
        <f>'FK-doch'!D32</f>
        <v>331100</v>
      </c>
      <c r="E21" s="95">
        <f>'FK-doch'!E32</f>
        <v>380519.96</v>
      </c>
      <c r="F21" s="449">
        <f t="shared" si="0"/>
        <v>114.9259921473875</v>
      </c>
      <c r="H21" s="326"/>
    </row>
    <row r="22" spans="1:8" ht="12.75" customHeight="1">
      <c r="A22" s="43">
        <v>3</v>
      </c>
      <c r="B22" s="312">
        <v>700</v>
      </c>
      <c r="C22" s="313" t="s">
        <v>418</v>
      </c>
      <c r="D22" s="94">
        <f>'FK-doch'!D34+'FK-doch'!D35</f>
        <v>388000</v>
      </c>
      <c r="E22" s="94">
        <f>'FK-doch'!E34+'FK-doch'!E35</f>
        <v>398239.79000000004</v>
      </c>
      <c r="F22" s="450">
        <f t="shared" si="0"/>
        <v>102.63912113402063</v>
      </c>
      <c r="H22" s="326"/>
    </row>
    <row r="23" spans="1:8" ht="12.75" customHeight="1">
      <c r="A23" s="69">
        <v>4</v>
      </c>
      <c r="B23" s="69"/>
      <c r="C23" s="314" t="s">
        <v>187</v>
      </c>
      <c r="D23" s="94">
        <f>D24+D30+D37+D44</f>
        <v>8260341.45</v>
      </c>
      <c r="E23" s="94">
        <f>E24+E30+E37+E44</f>
        <v>8221471.619999999</v>
      </c>
      <c r="F23" s="447">
        <f t="shared" si="0"/>
        <v>99.52944039619572</v>
      </c>
      <c r="H23" s="326"/>
    </row>
    <row r="24" spans="1:8" ht="12.75" customHeight="1">
      <c r="A24" s="72"/>
      <c r="B24" s="70" t="s">
        <v>416</v>
      </c>
      <c r="C24" s="315" t="s">
        <v>431</v>
      </c>
      <c r="D24" s="103">
        <f>D25+D26+D27+D28+D29</f>
        <v>6085883</v>
      </c>
      <c r="E24" s="103">
        <f>E25+E26+E27+E28+E29</f>
        <v>6068795.55</v>
      </c>
      <c r="F24" s="448">
        <f t="shared" si="0"/>
        <v>99.71922808900533</v>
      </c>
      <c r="H24" s="326"/>
    </row>
    <row r="25" spans="1:8" ht="12.75" customHeight="1">
      <c r="A25" s="72"/>
      <c r="B25" s="327" t="s">
        <v>66</v>
      </c>
      <c r="C25" s="316" t="s">
        <v>218</v>
      </c>
      <c r="D25" s="95">
        <f>'FK-doch'!D37</f>
        <v>93631</v>
      </c>
      <c r="E25" s="95">
        <f>'FK-doch'!E37</f>
        <v>91703.02</v>
      </c>
      <c r="F25" s="448">
        <f>E25/D25%</f>
        <v>97.94087428309001</v>
      </c>
      <c r="H25" s="326"/>
    </row>
    <row r="26" spans="1:8" ht="12.75" customHeight="1">
      <c r="A26" s="72"/>
      <c r="B26" s="72">
        <v>750</v>
      </c>
      <c r="C26" s="316" t="s">
        <v>218</v>
      </c>
      <c r="D26" s="95">
        <f>'FK-doch'!D38</f>
        <v>136768</v>
      </c>
      <c r="E26" s="95">
        <f>'FK-doch'!E38</f>
        <v>136768</v>
      </c>
      <c r="F26" s="448">
        <f t="shared" si="0"/>
        <v>100</v>
      </c>
      <c r="H26" s="326"/>
    </row>
    <row r="27" spans="1:8" ht="12.75" customHeight="1">
      <c r="A27" s="72"/>
      <c r="B27" s="72">
        <v>751</v>
      </c>
      <c r="C27" s="316" t="s">
        <v>218</v>
      </c>
      <c r="D27" s="95">
        <f>'FK-doch'!D39+'FK-doch'!D40</f>
        <v>48142</v>
      </c>
      <c r="E27" s="95">
        <f>'FK-doch'!E39+'FK-doch'!E40</f>
        <v>46305.28</v>
      </c>
      <c r="F27" s="448">
        <f t="shared" si="0"/>
        <v>96.18478667275974</v>
      </c>
      <c r="H27" s="326"/>
    </row>
    <row r="28" spans="1:8" ht="12.75" customHeight="1">
      <c r="A28" s="72"/>
      <c r="B28" s="72">
        <v>852</v>
      </c>
      <c r="C28" s="316" t="s">
        <v>218</v>
      </c>
      <c r="D28" s="95">
        <f>'FK-doch'!D41+'FK-doch'!D42+'FK-doch'!D43+'FK-doch'!D44+'FK-doch'!D45</f>
        <v>5760838</v>
      </c>
      <c r="E28" s="95">
        <f>'FK-doch'!E41+'FK-doch'!E42+'FK-doch'!E43+'FK-doch'!E44+'FK-doch'!E45</f>
        <v>5749159.09</v>
      </c>
      <c r="F28" s="448">
        <f t="shared" si="0"/>
        <v>99.79727064013952</v>
      </c>
      <c r="H28" s="326"/>
    </row>
    <row r="29" spans="1:8" ht="12.75" customHeight="1">
      <c r="A29" s="72"/>
      <c r="B29" s="72">
        <v>921</v>
      </c>
      <c r="C29" s="316" t="s">
        <v>218</v>
      </c>
      <c r="D29" s="95">
        <f>'FK-doch'!D46</f>
        <v>46504</v>
      </c>
      <c r="E29" s="95">
        <f>'FK-doch'!E46</f>
        <v>44860.16</v>
      </c>
      <c r="F29" s="448">
        <f t="shared" si="0"/>
        <v>96.46516428694306</v>
      </c>
      <c r="H29" s="326"/>
    </row>
    <row r="30" spans="1:8" ht="12.75" customHeight="1">
      <c r="A30" s="72"/>
      <c r="B30" s="70" t="s">
        <v>421</v>
      </c>
      <c r="C30" s="315" t="s">
        <v>432</v>
      </c>
      <c r="D30" s="103">
        <f>D31+D32+D35+D36+D33+D34</f>
        <v>1973733</v>
      </c>
      <c r="E30" s="103">
        <f>E31+E32+E35+E36+E33+E34</f>
        <v>1952095.3099999998</v>
      </c>
      <c r="F30" s="448">
        <f>E30/D30%</f>
        <v>98.90371747343737</v>
      </c>
      <c r="H30" s="326"/>
    </row>
    <row r="31" spans="1:8" ht="12.75" customHeight="1">
      <c r="A31" s="72"/>
      <c r="B31" s="72">
        <v>400</v>
      </c>
      <c r="C31" s="316" t="s">
        <v>219</v>
      </c>
      <c r="D31" s="95">
        <f>'FK-doch'!D48</f>
        <v>50348</v>
      </c>
      <c r="E31" s="95">
        <f>'FK-doch'!E48</f>
        <v>50348</v>
      </c>
      <c r="F31" s="448">
        <f t="shared" si="0"/>
        <v>100</v>
      </c>
      <c r="H31" s="326"/>
    </row>
    <row r="32" spans="1:8" ht="12.75" customHeight="1">
      <c r="A32" s="72"/>
      <c r="B32" s="72">
        <v>600</v>
      </c>
      <c r="C32" s="316" t="s">
        <v>219</v>
      </c>
      <c r="D32" s="95">
        <f>'FK-doch'!D49</f>
        <v>178549</v>
      </c>
      <c r="E32" s="95">
        <f>'FK-doch'!E49</f>
        <v>178549</v>
      </c>
      <c r="F32" s="448">
        <f t="shared" si="0"/>
        <v>100</v>
      </c>
      <c r="H32" s="326"/>
    </row>
    <row r="33" spans="1:8" ht="12.75" customHeight="1">
      <c r="A33" s="72"/>
      <c r="B33" s="72">
        <v>750</v>
      </c>
      <c r="C33" s="316" t="s">
        <v>219</v>
      </c>
      <c r="D33" s="95">
        <f>'FK-doch'!D50</f>
        <v>181</v>
      </c>
      <c r="E33" s="95">
        <f>'FK-doch'!E50</f>
        <v>0</v>
      </c>
      <c r="F33" s="448">
        <f t="shared" si="0"/>
        <v>0</v>
      </c>
      <c r="H33" s="326"/>
    </row>
    <row r="34" spans="1:8" ht="12.75" customHeight="1">
      <c r="A34" s="72"/>
      <c r="B34" s="72">
        <v>801</v>
      </c>
      <c r="C34" s="316" t="s">
        <v>219</v>
      </c>
      <c r="D34" s="95">
        <f>'FK-doch'!D51+'FK-doch'!D52</f>
        <v>65470</v>
      </c>
      <c r="E34" s="95">
        <f>'FK-doch'!E51+'FK-doch'!E52</f>
        <v>65455.14</v>
      </c>
      <c r="F34" s="448">
        <f t="shared" si="0"/>
        <v>99.97730258133495</v>
      </c>
      <c r="H34" s="326"/>
    </row>
    <row r="35" spans="1:8" ht="12.75" customHeight="1">
      <c r="A35" s="72"/>
      <c r="B35" s="72">
        <v>852</v>
      </c>
      <c r="C35" s="316" t="s">
        <v>219</v>
      </c>
      <c r="D35" s="95">
        <f>'FK-doch'!D53+'FK-doch'!D54+'FK-doch'!D55+'FK-doch'!D56</f>
        <v>1389189</v>
      </c>
      <c r="E35" s="95">
        <f>'FK-doch'!E53+'FK-doch'!E54+'FK-doch'!E55+'FK-doch'!E56</f>
        <v>1387952.69</v>
      </c>
      <c r="F35" s="448">
        <f t="shared" si="0"/>
        <v>99.91100491005903</v>
      </c>
      <c r="H35" s="326"/>
    </row>
    <row r="36" spans="1:8" ht="12.75" customHeight="1">
      <c r="A36" s="72"/>
      <c r="B36" s="72">
        <v>854</v>
      </c>
      <c r="C36" s="316" t="s">
        <v>219</v>
      </c>
      <c r="D36" s="95">
        <f>'FK-doch'!D57+'FK-doch'!D58</f>
        <v>289996</v>
      </c>
      <c r="E36" s="95">
        <f>'FK-doch'!E57+'FK-doch'!E58</f>
        <v>269790.48</v>
      </c>
      <c r="F36" s="448">
        <f t="shared" si="0"/>
        <v>93.0324832066649</v>
      </c>
      <c r="H36" s="326"/>
    </row>
    <row r="37" spans="1:8" ht="12.75" customHeight="1">
      <c r="A37" s="72"/>
      <c r="B37" s="70" t="s">
        <v>460</v>
      </c>
      <c r="C37" s="351" t="s">
        <v>461</v>
      </c>
      <c r="D37" s="103">
        <f>SUM(D38:D43)</f>
        <v>185125.45</v>
      </c>
      <c r="E37" s="103">
        <f>SUM(E38:E43)</f>
        <v>184980.76</v>
      </c>
      <c r="F37" s="448">
        <f t="shared" si="0"/>
        <v>99.9218421886348</v>
      </c>
      <c r="H37" s="326"/>
    </row>
    <row r="38" spans="1:8" ht="12.75" customHeight="1">
      <c r="A38" s="72"/>
      <c r="B38" s="406">
        <v>400</v>
      </c>
      <c r="C38" s="294" t="s">
        <v>291</v>
      </c>
      <c r="D38" s="407">
        <f>'FK-doch'!D60</f>
        <v>59000</v>
      </c>
      <c r="E38" s="407">
        <f>'FK-doch'!E60</f>
        <v>59000</v>
      </c>
      <c r="F38" s="448">
        <f t="shared" si="0"/>
        <v>100</v>
      </c>
      <c r="H38" s="326"/>
    </row>
    <row r="39" spans="1:8" ht="12.75" customHeight="1">
      <c r="A39" s="72"/>
      <c r="B39" s="406">
        <v>600</v>
      </c>
      <c r="C39" s="294" t="s">
        <v>291</v>
      </c>
      <c r="D39" s="407">
        <f>'FK-doch'!D61</f>
        <v>10000</v>
      </c>
      <c r="E39" s="407">
        <f>'FK-doch'!E61</f>
        <v>10000</v>
      </c>
      <c r="F39" s="448">
        <f t="shared" si="0"/>
        <v>100</v>
      </c>
      <c r="H39" s="326"/>
    </row>
    <row r="40" spans="1:8" ht="12.75" customHeight="1">
      <c r="A40" s="72"/>
      <c r="B40" s="406">
        <v>801</v>
      </c>
      <c r="C40" s="294" t="s">
        <v>291</v>
      </c>
      <c r="D40" s="407">
        <f>'FK-doch'!D62</f>
        <v>53720.25</v>
      </c>
      <c r="E40" s="407">
        <f>'FK-doch'!E62</f>
        <v>53720.25</v>
      </c>
      <c r="F40" s="448">
        <f t="shared" si="0"/>
        <v>100</v>
      </c>
      <c r="H40" s="326"/>
    </row>
    <row r="41" spans="1:8" ht="12.75" customHeight="1">
      <c r="A41" s="72"/>
      <c r="B41" s="72">
        <v>852</v>
      </c>
      <c r="C41" s="294" t="s">
        <v>291</v>
      </c>
      <c r="D41" s="407">
        <f>'FK-doch'!D63</f>
        <v>12405.2</v>
      </c>
      <c r="E41" s="407">
        <f>'FK-doch'!E63</f>
        <v>12260.51</v>
      </c>
      <c r="F41" s="448">
        <f t="shared" si="0"/>
        <v>98.8336342823977</v>
      </c>
      <c r="H41" s="326"/>
    </row>
    <row r="42" spans="1:8" ht="12.75" customHeight="1">
      <c r="A42" s="72"/>
      <c r="B42" s="72">
        <v>900</v>
      </c>
      <c r="C42" s="294" t="s">
        <v>291</v>
      </c>
      <c r="D42" s="407">
        <f>'FK-doch'!D64</f>
        <v>40000</v>
      </c>
      <c r="E42" s="407">
        <f>'FK-doch'!E64</f>
        <v>40000</v>
      </c>
      <c r="F42" s="448">
        <f t="shared" si="0"/>
        <v>100</v>
      </c>
      <c r="H42" s="326"/>
    </row>
    <row r="43" spans="1:8" ht="12.75" customHeight="1">
      <c r="A43" s="72"/>
      <c r="B43" s="72">
        <v>926</v>
      </c>
      <c r="C43" s="294" t="s">
        <v>291</v>
      </c>
      <c r="D43" s="95">
        <f>'FK-doch'!D65</f>
        <v>10000</v>
      </c>
      <c r="E43" s="95">
        <f>'FK-doch'!E65</f>
        <v>10000</v>
      </c>
      <c r="F43" s="448">
        <f t="shared" si="0"/>
        <v>100</v>
      </c>
      <c r="H43" s="326"/>
    </row>
    <row r="44" spans="1:8" ht="12.75" customHeight="1">
      <c r="A44" s="61"/>
      <c r="B44" s="70">
        <v>921</v>
      </c>
      <c r="C44" s="315" t="s">
        <v>188</v>
      </c>
      <c r="D44" s="103">
        <f>'FK-doch'!D67+'FK-doch'!D69</f>
        <v>15600</v>
      </c>
      <c r="E44" s="103">
        <f>'FK-doch'!E67+'FK-doch'!E69</f>
        <v>15600</v>
      </c>
      <c r="F44" s="449">
        <f t="shared" si="0"/>
        <v>100</v>
      </c>
      <c r="H44" s="326"/>
    </row>
    <row r="45" spans="1:8" ht="12.75" customHeight="1">
      <c r="A45" s="69">
        <v>5</v>
      </c>
      <c r="B45" s="69"/>
      <c r="C45" s="314" t="s">
        <v>189</v>
      </c>
      <c r="D45" s="94">
        <f>D46+D48+D49+D47</f>
        <v>18279377</v>
      </c>
      <c r="E45" s="94">
        <f>E46+E48+E49+E47</f>
        <v>18279377</v>
      </c>
      <c r="F45" s="450">
        <f t="shared" si="0"/>
        <v>100</v>
      </c>
      <c r="H45" s="326"/>
    </row>
    <row r="46" spans="1:8" ht="12.75" customHeight="1">
      <c r="A46" s="72"/>
      <c r="B46" s="72">
        <v>758</v>
      </c>
      <c r="C46" s="316" t="s">
        <v>19</v>
      </c>
      <c r="D46" s="95">
        <f>'FK-doch'!D71</f>
        <v>10130189</v>
      </c>
      <c r="E46" s="95">
        <f>'FK-doch'!E71</f>
        <v>10130189</v>
      </c>
      <c r="F46" s="448">
        <f t="shared" si="0"/>
        <v>100</v>
      </c>
      <c r="H46" s="326"/>
    </row>
    <row r="47" spans="1:8" ht="12.75" customHeight="1">
      <c r="A47" s="72"/>
      <c r="B47" s="72">
        <v>758</v>
      </c>
      <c r="C47" s="316" t="s">
        <v>548</v>
      </c>
      <c r="D47" s="95">
        <f>'FK-doch'!D72</f>
        <v>37365</v>
      </c>
      <c r="E47" s="95">
        <f>'FK-doch'!E72</f>
        <v>37365</v>
      </c>
      <c r="F47" s="448">
        <f t="shared" si="0"/>
        <v>100</v>
      </c>
      <c r="H47" s="326"/>
    </row>
    <row r="48" spans="1:8" ht="12.75" customHeight="1">
      <c r="A48" s="72"/>
      <c r="B48" s="72">
        <v>758</v>
      </c>
      <c r="C48" s="316" t="s">
        <v>124</v>
      </c>
      <c r="D48" s="95">
        <f>'FK-doch'!D73</f>
        <v>7381154</v>
      </c>
      <c r="E48" s="95">
        <f>'FK-doch'!E73</f>
        <v>7381154</v>
      </c>
      <c r="F48" s="448">
        <f t="shared" si="0"/>
        <v>100.00000000000001</v>
      </c>
      <c r="H48" s="326"/>
    </row>
    <row r="49" spans="1:8" ht="12.75" customHeight="1">
      <c r="A49" s="61"/>
      <c r="B49" s="61">
        <v>758</v>
      </c>
      <c r="C49" s="317" t="s">
        <v>160</v>
      </c>
      <c r="D49" s="95">
        <f>'FK-doch'!D74</f>
        <v>730669</v>
      </c>
      <c r="E49" s="95">
        <f>'FK-doch'!E74</f>
        <v>730669</v>
      </c>
      <c r="F49" s="448">
        <f>E49/D49%</f>
        <v>100</v>
      </c>
      <c r="H49" s="326"/>
    </row>
    <row r="50" spans="1:8" ht="12.75" customHeight="1">
      <c r="A50" s="69">
        <v>6</v>
      </c>
      <c r="B50" s="69"/>
      <c r="C50" s="318" t="s">
        <v>523</v>
      </c>
      <c r="D50" s="94">
        <f>D51+D53+D52</f>
        <v>359887.1</v>
      </c>
      <c r="E50" s="94">
        <f>E51+E53+E52</f>
        <v>357720.08999999997</v>
      </c>
      <c r="F50" s="447">
        <f t="shared" si="0"/>
        <v>99.39786394121934</v>
      </c>
      <c r="H50" s="326"/>
    </row>
    <row r="51" spans="1:8" ht="12.75" customHeight="1">
      <c r="A51" s="70"/>
      <c r="B51" s="72"/>
      <c r="C51" s="249" t="s">
        <v>550</v>
      </c>
      <c r="D51" s="95">
        <v>51550</v>
      </c>
      <c r="E51" s="95">
        <v>51284.57</v>
      </c>
      <c r="F51" s="448">
        <f>E51/D51%</f>
        <v>99.485101842871</v>
      </c>
      <c r="H51" s="326"/>
    </row>
    <row r="52" spans="1:8" ht="12.75" customHeight="1">
      <c r="A52" s="70"/>
      <c r="B52" s="72"/>
      <c r="C52" s="249" t="s">
        <v>525</v>
      </c>
      <c r="D52" s="95">
        <v>43417.1</v>
      </c>
      <c r="E52" s="95">
        <v>43347.05</v>
      </c>
      <c r="F52" s="448">
        <f>E52/D52%</f>
        <v>99.83865804026524</v>
      </c>
      <c r="H52" s="326"/>
    </row>
    <row r="53" spans="1:8" ht="12.75" customHeight="1">
      <c r="A53" s="70"/>
      <c r="B53" s="72"/>
      <c r="C53" s="249" t="s">
        <v>524</v>
      </c>
      <c r="D53" s="95">
        <f>'FK-doch'!D79+'FK-doch'!D80</f>
        <v>264920</v>
      </c>
      <c r="E53" s="95">
        <f>'FK-doch'!E79+'FK-doch'!E80</f>
        <v>263088.47</v>
      </c>
      <c r="F53" s="448">
        <f>E53/D53%</f>
        <v>99.30864789370375</v>
      </c>
      <c r="H53" s="326"/>
    </row>
    <row r="54" spans="1:8" ht="12.75" customHeight="1">
      <c r="A54" s="76">
        <v>7</v>
      </c>
      <c r="B54" s="319"/>
      <c r="C54" s="331" t="s">
        <v>190</v>
      </c>
      <c r="D54" s="94">
        <f>D55+D60+D63+D70+D74+D79+D84+D86+D83+D85</f>
        <v>2018699.59</v>
      </c>
      <c r="E54" s="94">
        <f>E55+E60+E63+E70+E74+E79+E84+E86+E83+E85</f>
        <v>2268920.5100000007</v>
      </c>
      <c r="F54" s="447">
        <f t="shared" si="0"/>
        <v>112.39515385248582</v>
      </c>
      <c r="H54" s="326"/>
    </row>
    <row r="55" spans="1:8" ht="12.75" customHeight="1">
      <c r="A55" s="72"/>
      <c r="B55" s="71"/>
      <c r="C55" s="346" t="s">
        <v>191</v>
      </c>
      <c r="D55" s="347">
        <f>D56+D58+D59+D57</f>
        <v>869373.25</v>
      </c>
      <c r="E55" s="347">
        <f>E56+E58+E59+E57</f>
        <v>1043733.8400000001</v>
      </c>
      <c r="F55" s="451">
        <f t="shared" si="0"/>
        <v>120.055895439617</v>
      </c>
      <c r="H55" s="326"/>
    </row>
    <row r="56" spans="1:8" ht="12.75" customHeight="1">
      <c r="A56" s="72"/>
      <c r="B56" s="71">
        <v>801</v>
      </c>
      <c r="C56" s="328" t="s">
        <v>433</v>
      </c>
      <c r="D56" s="95">
        <f>626137.25-135000</f>
        <v>491137.25</v>
      </c>
      <c r="E56" s="95">
        <f>672559.06-15000</f>
        <v>657559.06</v>
      </c>
      <c r="F56" s="448">
        <f t="shared" si="0"/>
        <v>133.8849903972871</v>
      </c>
      <c r="H56" s="326"/>
    </row>
    <row r="57" spans="1:8" ht="12.75" customHeight="1">
      <c r="A57" s="72"/>
      <c r="B57" s="71">
        <v>801</v>
      </c>
      <c r="C57" s="328" t="s">
        <v>514</v>
      </c>
      <c r="D57" s="95">
        <v>135000</v>
      </c>
      <c r="E57" s="95">
        <v>138336.28</v>
      </c>
      <c r="F57" s="448">
        <f t="shared" si="0"/>
        <v>102.47131851851852</v>
      </c>
      <c r="H57" s="326"/>
    </row>
    <row r="58" spans="1:8" ht="12.75" customHeight="1">
      <c r="A58" s="72"/>
      <c r="B58" s="71">
        <v>630</v>
      </c>
      <c r="C58" s="328" t="s">
        <v>434</v>
      </c>
      <c r="D58" s="95">
        <f>'FK-doch'!D85+'FK-doch'!D86</f>
        <v>26000</v>
      </c>
      <c r="E58" s="95">
        <f>'FK-doch'!E85+'FK-doch'!E86</f>
        <v>26315.309999999998</v>
      </c>
      <c r="F58" s="448">
        <f t="shared" si="0"/>
        <v>101.21273076923076</v>
      </c>
      <c r="H58" s="326"/>
    </row>
    <row r="59" spans="1:8" ht="12.75" customHeight="1">
      <c r="A59" s="61"/>
      <c r="B59" s="5">
        <v>801</v>
      </c>
      <c r="C59" s="442" t="s">
        <v>435</v>
      </c>
      <c r="D59" s="96">
        <f>'FK-doch'!D88+'FK-doch'!D89+'FK-doch'!D90+'FK-doch'!D91</f>
        <v>217236</v>
      </c>
      <c r="E59" s="96">
        <f>'FK-doch'!E88+'FK-doch'!E89+'FK-doch'!E90+'FK-doch'!E91</f>
        <v>221523.19</v>
      </c>
      <c r="F59" s="449">
        <f t="shared" si="0"/>
        <v>101.97351728074536</v>
      </c>
      <c r="H59" s="326"/>
    </row>
    <row r="60" spans="1:8" s="352" customFormat="1" ht="12.75" customHeight="1">
      <c r="A60" s="151"/>
      <c r="B60" s="443"/>
      <c r="C60" s="350" t="s">
        <v>462</v>
      </c>
      <c r="D60" s="444">
        <f>D61+D62</f>
        <v>30335</v>
      </c>
      <c r="E60" s="444">
        <f>E61+E62</f>
        <v>32069.809999999998</v>
      </c>
      <c r="F60" s="452">
        <f t="shared" si="0"/>
        <v>105.71883962419646</v>
      </c>
      <c r="H60" s="353"/>
    </row>
    <row r="61" spans="1:8" ht="12.75" customHeight="1">
      <c r="A61" s="72"/>
      <c r="B61" s="320">
        <v>750</v>
      </c>
      <c r="C61" s="329" t="s">
        <v>436</v>
      </c>
      <c r="D61" s="95">
        <f>'FK-doch'!D93+'FK-doch'!D94</f>
        <v>1350</v>
      </c>
      <c r="E61" s="95">
        <f>'FK-doch'!E93+'FK-doch'!E94</f>
        <v>1276.6</v>
      </c>
      <c r="F61" s="448">
        <f t="shared" si="0"/>
        <v>94.56296296296296</v>
      </c>
      <c r="H61" s="326"/>
    </row>
    <row r="62" spans="1:8" ht="12.75" customHeight="1">
      <c r="A62" s="72"/>
      <c r="B62" s="320">
        <v>852</v>
      </c>
      <c r="C62" s="329" t="s">
        <v>436</v>
      </c>
      <c r="D62" s="95">
        <f>'FK-doch'!D95+'FK-doch'!D96</f>
        <v>28985</v>
      </c>
      <c r="E62" s="95">
        <f>'FK-doch'!E95+'FK-doch'!E96</f>
        <v>30793.21</v>
      </c>
      <c r="F62" s="448">
        <f t="shared" si="0"/>
        <v>106.23843367258925</v>
      </c>
      <c r="H62" s="326"/>
    </row>
    <row r="63" spans="1:8" ht="12.75" customHeight="1">
      <c r="A63" s="72"/>
      <c r="B63" s="320"/>
      <c r="C63" s="348" t="s">
        <v>437</v>
      </c>
      <c r="D63" s="347">
        <f>D65+D67+D66+D64+D68+D69</f>
        <v>116070.25</v>
      </c>
      <c r="E63" s="347">
        <f>E65+E67+E66+E64+E68+E69</f>
        <v>124417.58</v>
      </c>
      <c r="F63" s="448">
        <f t="shared" si="0"/>
        <v>107.19161886874542</v>
      </c>
      <c r="H63" s="326"/>
    </row>
    <row r="64" spans="1:8" ht="12.75" customHeight="1">
      <c r="A64" s="72"/>
      <c r="B64" s="320">
        <v>600</v>
      </c>
      <c r="C64" s="333" t="s">
        <v>438</v>
      </c>
      <c r="D64" s="95">
        <f>'FK-doch'!D98</f>
        <v>27000</v>
      </c>
      <c r="E64" s="95">
        <f>'FK-doch'!E98</f>
        <v>27000</v>
      </c>
      <c r="F64" s="448">
        <f t="shared" si="0"/>
        <v>100</v>
      </c>
      <c r="H64" s="326"/>
    </row>
    <row r="65" spans="1:8" ht="12.75" customHeight="1">
      <c r="A65" s="72"/>
      <c r="B65" s="320">
        <v>750</v>
      </c>
      <c r="C65" s="333" t="s">
        <v>438</v>
      </c>
      <c r="D65" s="95">
        <f>'FK-doch'!D99</f>
        <v>41294</v>
      </c>
      <c r="E65" s="95">
        <f>'FK-doch'!E99</f>
        <v>41449.73</v>
      </c>
      <c r="F65" s="448">
        <f t="shared" si="0"/>
        <v>100.37712500605416</v>
      </c>
      <c r="H65" s="326"/>
    </row>
    <row r="66" spans="1:8" ht="12.75" customHeight="1">
      <c r="A66" s="72"/>
      <c r="B66" s="320">
        <v>754</v>
      </c>
      <c r="C66" s="333" t="s">
        <v>438</v>
      </c>
      <c r="D66" s="95">
        <f>'FK-doch'!D100</f>
        <v>2000</v>
      </c>
      <c r="E66" s="95">
        <f>'FK-doch'!E100</f>
        <v>2000</v>
      </c>
      <c r="F66" s="448">
        <f t="shared" si="0"/>
        <v>100</v>
      </c>
      <c r="H66" s="326"/>
    </row>
    <row r="67" spans="1:8" ht="12.75" customHeight="1">
      <c r="A67" s="72"/>
      <c r="B67" s="320">
        <v>801</v>
      </c>
      <c r="C67" s="333" t="s">
        <v>438</v>
      </c>
      <c r="D67" s="95">
        <f>'FK-doch'!D101+'FK-doch'!D102+'FK-doch'!D103</f>
        <v>38270.25</v>
      </c>
      <c r="E67" s="95">
        <f>'FK-doch'!E101+'FK-doch'!E102+'FK-doch'!E103</f>
        <v>46461.85</v>
      </c>
      <c r="F67" s="448">
        <f t="shared" si="0"/>
        <v>121.40461585696461</v>
      </c>
      <c r="H67" s="326"/>
    </row>
    <row r="68" spans="1:8" ht="12.75" customHeight="1">
      <c r="A68" s="72"/>
      <c r="B68" s="320">
        <v>852</v>
      </c>
      <c r="C68" s="333" t="s">
        <v>438</v>
      </c>
      <c r="D68" s="95">
        <f>'FK-doch'!D104</f>
        <v>840</v>
      </c>
      <c r="E68" s="95">
        <f>'FK-doch'!E104</f>
        <v>840</v>
      </c>
      <c r="F68" s="448">
        <f t="shared" si="0"/>
        <v>100</v>
      </c>
      <c r="H68" s="326"/>
    </row>
    <row r="69" spans="1:8" ht="12.75" customHeight="1">
      <c r="A69" s="72"/>
      <c r="B69" s="320">
        <v>926</v>
      </c>
      <c r="C69" s="333" t="s">
        <v>438</v>
      </c>
      <c r="D69" s="95">
        <f>'FK-doch'!D105</f>
        <v>6666</v>
      </c>
      <c r="E69" s="95">
        <f>'FK-doch'!E105</f>
        <v>6666</v>
      </c>
      <c r="F69" s="448">
        <f t="shared" si="0"/>
        <v>100</v>
      </c>
      <c r="H69" s="326"/>
    </row>
    <row r="70" spans="1:8" ht="12.75" customHeight="1">
      <c r="A70" s="72"/>
      <c r="B70" s="320"/>
      <c r="C70" s="349" t="s">
        <v>439</v>
      </c>
      <c r="D70" s="347">
        <f>D71+D72+D73</f>
        <v>139872.09</v>
      </c>
      <c r="E70" s="347">
        <f>E71+E72+E73</f>
        <v>180407.47</v>
      </c>
      <c r="F70" s="448">
        <f t="shared" si="0"/>
        <v>128.98032051998365</v>
      </c>
      <c r="H70" s="326"/>
    </row>
    <row r="71" spans="1:8" ht="12.75" customHeight="1">
      <c r="A71" s="72"/>
      <c r="B71" s="320">
        <v>600</v>
      </c>
      <c r="C71" s="330" t="s">
        <v>575</v>
      </c>
      <c r="D71" s="95">
        <f>'FK-doch'!D107</f>
        <v>66393</v>
      </c>
      <c r="E71" s="95">
        <f>'FK-doch'!E107</f>
        <v>106393</v>
      </c>
      <c r="F71" s="448">
        <f t="shared" si="0"/>
        <v>160.24731522901513</v>
      </c>
      <c r="H71" s="326"/>
    </row>
    <row r="72" spans="1:8" ht="12.75" customHeight="1">
      <c r="A72" s="72"/>
      <c r="B72" s="320">
        <v>750</v>
      </c>
      <c r="C72" s="330" t="s">
        <v>440</v>
      </c>
      <c r="D72" s="95">
        <f>'FK-doch'!D108+'FK-doch'!D109</f>
        <v>46740</v>
      </c>
      <c r="E72" s="95">
        <f>'FK-doch'!E108+'FK-doch'!E109</f>
        <v>46676.91</v>
      </c>
      <c r="F72" s="448">
        <f t="shared" si="0"/>
        <v>99.86501925545572</v>
      </c>
      <c r="H72" s="326"/>
    </row>
    <row r="73" spans="1:8" ht="12.75" customHeight="1">
      <c r="A73" s="61"/>
      <c r="B73" s="321">
        <v>852</v>
      </c>
      <c r="C73" s="332" t="s">
        <v>440</v>
      </c>
      <c r="D73" s="96">
        <f>'FK-doch'!D110+'FK-doch'!D111+'FK-doch'!D112+'FK-doch'!D113</f>
        <v>26739.09</v>
      </c>
      <c r="E73" s="96">
        <f>'FK-doch'!E110+'FK-doch'!E111+'FK-doch'!E112+'FK-doch'!E113</f>
        <v>27337.56</v>
      </c>
      <c r="F73" s="449">
        <f t="shared" si="0"/>
        <v>102.23818387237561</v>
      </c>
      <c r="H73" s="326"/>
    </row>
    <row r="74" spans="1:8" ht="12.75" customHeight="1">
      <c r="A74" s="312"/>
      <c r="B74" s="395"/>
      <c r="C74" s="350" t="s">
        <v>442</v>
      </c>
      <c r="D74" s="396">
        <f>D75+D76+D77+D78</f>
        <v>230552</v>
      </c>
      <c r="E74" s="396">
        <f>E75+E76+E77+E78</f>
        <v>230751.65999999997</v>
      </c>
      <c r="F74" s="453">
        <f t="shared" si="0"/>
        <v>100.08660085360351</v>
      </c>
      <c r="H74" s="326"/>
    </row>
    <row r="75" spans="1:8" ht="12.75" customHeight="1">
      <c r="A75" s="72"/>
      <c r="B75" s="71">
        <v>750</v>
      </c>
      <c r="C75" s="328" t="s">
        <v>443</v>
      </c>
      <c r="D75" s="95">
        <f>'FK-doch'!D115</f>
        <v>3700</v>
      </c>
      <c r="E75" s="95">
        <f>'FK-doch'!E115</f>
        <v>3681.15</v>
      </c>
      <c r="F75" s="448">
        <f t="shared" si="0"/>
        <v>99.49054054054054</v>
      </c>
      <c r="H75" s="326"/>
    </row>
    <row r="76" spans="1:8" ht="12.75" customHeight="1">
      <c r="A76" s="72"/>
      <c r="B76" s="71">
        <v>756</v>
      </c>
      <c r="C76" s="328" t="s">
        <v>444</v>
      </c>
      <c r="D76" s="95">
        <f>'FK-doch'!D116</f>
        <v>220794</v>
      </c>
      <c r="E76" s="95">
        <f>'FK-doch'!E116</f>
        <v>221013.27</v>
      </c>
      <c r="F76" s="448">
        <f t="shared" si="0"/>
        <v>100.09930976385228</v>
      </c>
      <c r="H76" s="326"/>
    </row>
    <row r="77" spans="1:8" ht="12.75" customHeight="1">
      <c r="A77" s="77"/>
      <c r="B77" s="320">
        <v>900</v>
      </c>
      <c r="C77" s="330" t="s">
        <v>445</v>
      </c>
      <c r="D77" s="95">
        <f>'FK-doch'!D117</f>
        <v>4333</v>
      </c>
      <c r="E77" s="95">
        <f>'FK-doch'!E117</f>
        <v>4332.24</v>
      </c>
      <c r="F77" s="448">
        <f t="shared" si="0"/>
        <v>99.98246018924533</v>
      </c>
      <c r="H77" s="326"/>
    </row>
    <row r="78" spans="1:8" ht="12.75" customHeight="1">
      <c r="A78" s="77"/>
      <c r="B78" s="320">
        <v>926</v>
      </c>
      <c r="C78" s="330" t="s">
        <v>446</v>
      </c>
      <c r="D78" s="95">
        <f>'FK-doch'!D118</f>
        <v>1725</v>
      </c>
      <c r="E78" s="95">
        <f>'FK-doch'!E118</f>
        <v>1725</v>
      </c>
      <c r="F78" s="448">
        <f t="shared" si="0"/>
        <v>100</v>
      </c>
      <c r="H78" s="326"/>
    </row>
    <row r="79" spans="1:8" ht="12.75" customHeight="1">
      <c r="A79" s="77"/>
      <c r="B79" s="320"/>
      <c r="C79" s="349" t="s">
        <v>447</v>
      </c>
      <c r="D79" s="347">
        <f>D80+D81+D82</f>
        <v>69200</v>
      </c>
      <c r="E79" s="347">
        <f>E80+E81+E82</f>
        <v>94117.53</v>
      </c>
      <c r="F79" s="448">
        <f t="shared" si="0"/>
        <v>136.00799132947978</v>
      </c>
      <c r="H79" s="326"/>
    </row>
    <row r="80" spans="1:8" ht="12.75" customHeight="1">
      <c r="A80" s="77"/>
      <c r="B80" s="320">
        <v>756</v>
      </c>
      <c r="C80" s="329" t="s">
        <v>457</v>
      </c>
      <c r="D80" s="95">
        <f>'FK-doch'!D120+'FK-doch'!D121+'FK-doch'!D122</f>
        <v>35500</v>
      </c>
      <c r="E80" s="95">
        <f>'FK-doch'!E120+'FK-doch'!E121+'FK-doch'!E122</f>
        <v>59132.649999999994</v>
      </c>
      <c r="F80" s="448">
        <f t="shared" si="0"/>
        <v>166.5708450704225</v>
      </c>
      <c r="H80" s="326"/>
    </row>
    <row r="81" spans="1:8" ht="12.75" customHeight="1">
      <c r="A81" s="77"/>
      <c r="B81" s="320">
        <v>852</v>
      </c>
      <c r="C81" s="329" t="s">
        <v>458</v>
      </c>
      <c r="D81" s="95">
        <f>'FK-doch'!D124</f>
        <v>3700</v>
      </c>
      <c r="E81" s="95">
        <f>'FK-doch'!E124</f>
        <v>3459.64</v>
      </c>
      <c r="F81" s="448">
        <f t="shared" si="0"/>
        <v>93.50378378378377</v>
      </c>
      <c r="H81" s="326"/>
    </row>
    <row r="82" spans="1:8" ht="12.75" customHeight="1">
      <c r="A82" s="77"/>
      <c r="B82" s="320">
        <v>758</v>
      </c>
      <c r="C82" s="330" t="s">
        <v>459</v>
      </c>
      <c r="D82" s="95">
        <f>'FK-doch'!D126</f>
        <v>30000</v>
      </c>
      <c r="E82" s="95">
        <f>'FK-doch'!E126</f>
        <v>31525.239999999998</v>
      </c>
      <c r="F82" s="448">
        <f t="shared" si="0"/>
        <v>105.08413333333333</v>
      </c>
      <c r="H82" s="326"/>
    </row>
    <row r="83" spans="1:8" ht="12.75" customHeight="1">
      <c r="A83" s="77"/>
      <c r="B83" s="63" t="s">
        <v>68</v>
      </c>
      <c r="C83" s="143" t="s">
        <v>426</v>
      </c>
      <c r="D83" s="95">
        <f>'FK-doch'!D128</f>
        <v>3100</v>
      </c>
      <c r="E83" s="95">
        <f>'FK-doch'!E128</f>
        <v>2765.99</v>
      </c>
      <c r="F83" s="448">
        <f t="shared" si="0"/>
        <v>89.22548387096774</v>
      </c>
      <c r="H83" s="326"/>
    </row>
    <row r="84" spans="1:8" ht="12.75" customHeight="1">
      <c r="A84" s="77"/>
      <c r="B84" s="63" t="s">
        <v>68</v>
      </c>
      <c r="C84" s="328" t="s">
        <v>419</v>
      </c>
      <c r="D84" s="95">
        <f>'FK-doch'!D129</f>
        <v>7000</v>
      </c>
      <c r="E84" s="95">
        <f>'FK-doch'!E129</f>
        <v>7243.84</v>
      </c>
      <c r="F84" s="448">
        <f t="shared" si="0"/>
        <v>103.48342857142858</v>
      </c>
      <c r="H84" s="326"/>
    </row>
    <row r="85" spans="1:8" ht="12.75" customHeight="1">
      <c r="A85" s="77"/>
      <c r="B85" s="380" t="s">
        <v>251</v>
      </c>
      <c r="C85" s="334" t="s">
        <v>441</v>
      </c>
      <c r="D85" s="115">
        <f>'FK-doch'!D131+'FK-doch'!D132</f>
        <v>30246</v>
      </c>
      <c r="E85" s="115">
        <f>'FK-doch'!E131+'FK-doch'!E132</f>
        <v>30461.79</v>
      </c>
      <c r="F85" s="448">
        <f>E85/D85%</f>
        <v>100.71344971235867</v>
      </c>
      <c r="H85" s="326"/>
    </row>
    <row r="86" spans="1:8" ht="12.75" customHeight="1">
      <c r="A86" s="79"/>
      <c r="B86" s="321">
        <v>756</v>
      </c>
      <c r="C86" s="332" t="s">
        <v>420</v>
      </c>
      <c r="D86" s="96">
        <f>'FK-doch'!D134</f>
        <v>522951</v>
      </c>
      <c r="E86" s="96">
        <f>'FK-doch'!E134</f>
        <v>522951</v>
      </c>
      <c r="F86" s="449">
        <f t="shared" si="0"/>
        <v>100</v>
      </c>
      <c r="H86" s="326"/>
    </row>
    <row r="87" spans="1:8" ht="12.75" customHeight="1">
      <c r="A87" s="542" t="s">
        <v>421</v>
      </c>
      <c r="B87" s="543"/>
      <c r="C87" s="322" t="s">
        <v>422</v>
      </c>
      <c r="D87" s="323">
        <f>D88+D103</f>
        <v>4257542.48</v>
      </c>
      <c r="E87" s="325">
        <f>E88+E103</f>
        <v>4628342.51</v>
      </c>
      <c r="F87" s="454">
        <f t="shared" si="0"/>
        <v>108.7092502715322</v>
      </c>
      <c r="H87" s="326"/>
    </row>
    <row r="88" spans="1:8" ht="12.75" customHeight="1">
      <c r="A88" s="382" t="s">
        <v>423</v>
      </c>
      <c r="B88" s="381"/>
      <c r="C88" s="387" t="s">
        <v>424</v>
      </c>
      <c r="D88" s="384">
        <f>D89+D91+D95+D97+D99+D100+D93</f>
        <v>3196309.48</v>
      </c>
      <c r="E88" s="384">
        <f>E89+E91+E95+E97+E99+E100+E93</f>
        <v>3529029.02</v>
      </c>
      <c r="F88" s="455">
        <f t="shared" si="0"/>
        <v>110.40949076057554</v>
      </c>
      <c r="H88" s="326"/>
    </row>
    <row r="89" spans="1:8" ht="12.75" customHeight="1">
      <c r="A89" s="383"/>
      <c r="B89" s="119">
        <v>600</v>
      </c>
      <c r="C89" s="391" t="s">
        <v>517</v>
      </c>
      <c r="D89" s="392">
        <f>'FK-doch'!D136</f>
        <v>245500</v>
      </c>
      <c r="E89" s="392">
        <f>'FK-doch'!E136</f>
        <v>245110.02</v>
      </c>
      <c r="F89" s="456">
        <f t="shared" si="0"/>
        <v>99.84114867617107</v>
      </c>
      <c r="H89" s="326"/>
    </row>
    <row r="90" spans="1:8" ht="24.75" customHeight="1">
      <c r="A90" s="383"/>
      <c r="B90" s="119"/>
      <c r="C90" s="388" t="s">
        <v>519</v>
      </c>
      <c r="D90" s="385"/>
      <c r="E90" s="385"/>
      <c r="F90" s="457"/>
      <c r="H90" s="326"/>
    </row>
    <row r="91" spans="1:8" ht="12.75" customHeight="1">
      <c r="A91" s="383"/>
      <c r="B91" s="119">
        <v>600</v>
      </c>
      <c r="C91" s="391" t="s">
        <v>551</v>
      </c>
      <c r="D91" s="392">
        <f>'FK-doch'!D138</f>
        <v>1517922.49</v>
      </c>
      <c r="E91" s="392">
        <f>'FK-doch'!E138</f>
        <v>1517921.62</v>
      </c>
      <c r="F91" s="456">
        <f>E91/D91%</f>
        <v>99.9999426848205</v>
      </c>
      <c r="H91" s="326"/>
    </row>
    <row r="92" spans="1:8" ht="24.75" customHeight="1">
      <c r="A92" s="383"/>
      <c r="B92" s="119"/>
      <c r="C92" s="388" t="s">
        <v>235</v>
      </c>
      <c r="D92" s="385"/>
      <c r="E92" s="385"/>
      <c r="F92" s="456"/>
      <c r="H92" s="326"/>
    </row>
    <row r="93" spans="1:8" ht="17.25" customHeight="1">
      <c r="A93" s="383"/>
      <c r="B93" s="119">
        <v>400</v>
      </c>
      <c r="C93" s="391" t="s">
        <v>551</v>
      </c>
      <c r="D93" s="412">
        <f>'FK-doch'!D140</f>
        <v>33365.15</v>
      </c>
      <c r="E93" s="412">
        <f>'FK-doch'!E140</f>
        <v>33365.15</v>
      </c>
      <c r="F93" s="456">
        <f>E93/D93%</f>
        <v>100</v>
      </c>
      <c r="H93" s="326"/>
    </row>
    <row r="94" spans="1:8" ht="24.75" customHeight="1">
      <c r="A94" s="383"/>
      <c r="B94" s="119"/>
      <c r="C94" s="388" t="s">
        <v>552</v>
      </c>
      <c r="D94" s="385"/>
      <c r="E94" s="385"/>
      <c r="F94" s="457"/>
      <c r="H94" s="326"/>
    </row>
    <row r="95" spans="1:8" ht="12.75" customHeight="1">
      <c r="A95" s="383"/>
      <c r="B95" s="184">
        <v>630</v>
      </c>
      <c r="C95" s="391" t="s">
        <v>518</v>
      </c>
      <c r="D95" s="390">
        <f>'FK-doch'!D142</f>
        <v>160519.91</v>
      </c>
      <c r="E95" s="390">
        <f>'FK-doch'!E142</f>
        <v>359605.84</v>
      </c>
      <c r="F95" s="456">
        <f t="shared" si="0"/>
        <v>224.02569251378225</v>
      </c>
      <c r="H95" s="326"/>
    </row>
    <row r="96" spans="1:8" ht="27" customHeight="1">
      <c r="A96" s="383"/>
      <c r="B96" s="184"/>
      <c r="C96" s="316" t="s">
        <v>516</v>
      </c>
      <c r="D96" s="386"/>
      <c r="E96" s="386"/>
      <c r="F96" s="457"/>
      <c r="H96" s="326"/>
    </row>
    <row r="97" spans="1:8" ht="12.75" customHeight="1">
      <c r="A97" s="383"/>
      <c r="B97" s="184">
        <v>801</v>
      </c>
      <c r="C97" s="391" t="s">
        <v>518</v>
      </c>
      <c r="D97" s="390">
        <f>'FK-doch'!D144</f>
        <v>1172722.18</v>
      </c>
      <c r="E97" s="390">
        <f>'FK-doch'!E144</f>
        <v>1306746.64</v>
      </c>
      <c r="F97" s="456">
        <f>E97/D97%</f>
        <v>111.42849195535808</v>
      </c>
      <c r="H97" s="326"/>
    </row>
    <row r="98" spans="1:8" ht="25.5" customHeight="1">
      <c r="A98" s="383"/>
      <c r="B98" s="184"/>
      <c r="C98" s="316" t="s">
        <v>180</v>
      </c>
      <c r="D98" s="386"/>
      <c r="E98" s="386"/>
      <c r="F98" s="457"/>
      <c r="H98" s="326"/>
    </row>
    <row r="99" spans="1:8" ht="12.75" customHeight="1">
      <c r="A99" s="383"/>
      <c r="B99" s="184">
        <v>754</v>
      </c>
      <c r="C99" s="316" t="s">
        <v>522</v>
      </c>
      <c r="D99" s="386">
        <f>'FK-doch'!D146</f>
        <v>15000</v>
      </c>
      <c r="E99" s="386">
        <f>'FK-doch'!E146</f>
        <v>15000</v>
      </c>
      <c r="F99" s="457">
        <f>E99/D99%</f>
        <v>100</v>
      </c>
      <c r="H99" s="326"/>
    </row>
    <row r="100" spans="1:8" ht="15" customHeight="1">
      <c r="A100" s="383"/>
      <c r="B100" s="184"/>
      <c r="C100" s="389" t="s">
        <v>520</v>
      </c>
      <c r="D100" s="390">
        <f>D101+D102</f>
        <v>51279.75</v>
      </c>
      <c r="E100" s="390">
        <f>E101+E102</f>
        <v>51279.75</v>
      </c>
      <c r="F100" s="456">
        <f>E100/D100%</f>
        <v>100</v>
      </c>
      <c r="H100" s="326"/>
    </row>
    <row r="101" spans="1:8" ht="12.75" customHeight="1">
      <c r="A101" s="383"/>
      <c r="B101" s="184">
        <v>801</v>
      </c>
      <c r="C101" s="294" t="s">
        <v>520</v>
      </c>
      <c r="D101" s="386">
        <f>'FK-doch'!D149</f>
        <v>15000</v>
      </c>
      <c r="E101" s="386">
        <f>'FK-doch'!E149</f>
        <v>15000</v>
      </c>
      <c r="F101" s="457">
        <f>E101/D101%</f>
        <v>100</v>
      </c>
      <c r="H101" s="326"/>
    </row>
    <row r="102" spans="1:8" s="15" customFormat="1" ht="12.75" customHeight="1">
      <c r="A102" s="383"/>
      <c r="B102" s="87" t="s">
        <v>204</v>
      </c>
      <c r="C102" s="294" t="s">
        <v>521</v>
      </c>
      <c r="D102" s="386">
        <f>'FK-doch'!D148</f>
        <v>36279.75</v>
      </c>
      <c r="E102" s="386">
        <f>'FK-doch'!E148</f>
        <v>36279.75</v>
      </c>
      <c r="F102" s="457">
        <f>E102/D102%</f>
        <v>100</v>
      </c>
      <c r="H102" s="326"/>
    </row>
    <row r="103" spans="1:8" ht="12.75" customHeight="1">
      <c r="A103" s="544">
        <v>2</v>
      </c>
      <c r="B103" s="74"/>
      <c r="C103" s="144" t="s">
        <v>425</v>
      </c>
      <c r="D103" s="94">
        <f>D104+D107+D105+D106</f>
        <v>1061233</v>
      </c>
      <c r="E103" s="94">
        <f>E104+E107+E105+E106</f>
        <v>1099313.49</v>
      </c>
      <c r="F103" s="447">
        <f t="shared" si="0"/>
        <v>103.58832508977764</v>
      </c>
      <c r="H103" s="326"/>
    </row>
    <row r="104" spans="1:8" ht="12.75" customHeight="1">
      <c r="A104" s="545"/>
      <c r="B104" s="71">
        <v>700</v>
      </c>
      <c r="C104" s="143" t="s">
        <v>427</v>
      </c>
      <c r="D104" s="95">
        <f>'FK-doch'!D151+'FK-doch'!D152</f>
        <v>712930</v>
      </c>
      <c r="E104" s="95">
        <f>'FK-doch'!E151+'FK-doch'!E152</f>
        <v>737607.76</v>
      </c>
      <c r="F104" s="448">
        <f t="shared" si="0"/>
        <v>103.46145624395102</v>
      </c>
      <c r="H104" s="326"/>
    </row>
    <row r="105" spans="1:8" ht="12.75" customHeight="1">
      <c r="A105" s="545"/>
      <c r="B105" s="71">
        <v>630</v>
      </c>
      <c r="C105" s="143" t="s">
        <v>430</v>
      </c>
      <c r="D105" s="95">
        <f>'FK-doch'!D153</f>
        <v>166000</v>
      </c>
      <c r="E105" s="95">
        <f>'FK-doch'!E153</f>
        <v>164600.92</v>
      </c>
      <c r="F105" s="448">
        <f t="shared" si="0"/>
        <v>99.15718072289157</v>
      </c>
      <c r="H105" s="326"/>
    </row>
    <row r="106" spans="1:8" ht="12.75" customHeight="1">
      <c r="A106" s="545"/>
      <c r="B106" s="71">
        <v>754</v>
      </c>
      <c r="C106" s="143" t="s">
        <v>515</v>
      </c>
      <c r="D106" s="95">
        <f>'FK-doch'!D155</f>
        <v>2303</v>
      </c>
      <c r="E106" s="95">
        <f>'FK-doch'!E155</f>
        <v>2302</v>
      </c>
      <c r="F106" s="448">
        <f t="shared" si="0"/>
        <v>99.95657837603126</v>
      </c>
      <c r="H106" s="326"/>
    </row>
    <row r="107" spans="1:8" ht="12.75" customHeight="1">
      <c r="A107" s="545"/>
      <c r="B107" s="71">
        <v>801</v>
      </c>
      <c r="C107" s="143" t="s">
        <v>428</v>
      </c>
      <c r="D107" s="95">
        <f>'FK-doch'!D154</f>
        <v>180000</v>
      </c>
      <c r="E107" s="95">
        <f>'FK-doch'!E154</f>
        <v>194802.81</v>
      </c>
      <c r="F107" s="448">
        <f t="shared" si="0"/>
        <v>108.22378333333333</v>
      </c>
      <c r="H107" s="326"/>
    </row>
    <row r="108" spans="1:8" ht="12.75" customHeight="1">
      <c r="A108" s="393"/>
      <c r="B108" s="393"/>
      <c r="C108" s="394" t="s">
        <v>12</v>
      </c>
      <c r="D108" s="120">
        <f>D87+D5</f>
        <v>45423757.39</v>
      </c>
      <c r="E108" s="179">
        <f>E87+E5</f>
        <v>46229603.14</v>
      </c>
      <c r="F108" s="458">
        <f t="shared" si="0"/>
        <v>101.77406228877359</v>
      </c>
      <c r="H108" s="326"/>
    </row>
    <row r="110" spans="4:5" ht="12.75" customHeight="1" hidden="1">
      <c r="D110" s="100">
        <v>45423757.39</v>
      </c>
      <c r="E110" s="100">
        <v>46229603.14</v>
      </c>
    </row>
    <row r="111" spans="4:5" ht="12.75" customHeight="1" hidden="1">
      <c r="D111" s="100">
        <f>D110-D108</f>
        <v>0</v>
      </c>
      <c r="E111" s="100">
        <f>E110-E108</f>
        <v>0</v>
      </c>
    </row>
  </sheetData>
  <mergeCells count="5">
    <mergeCell ref="A1:F1"/>
    <mergeCell ref="A87:B87"/>
    <mergeCell ref="A103:A107"/>
    <mergeCell ref="A5:B5"/>
    <mergeCell ref="B2:F2"/>
  </mergeCells>
  <printOptions/>
  <pageMargins left="0.7" right="0.14" top="0.63" bottom="0.27" header="0.5" footer="0.18"/>
  <pageSetup horizontalDpi="600" verticalDpi="600" orientation="portrait" paperSize="9" r:id="rId1"/>
  <headerFooter alignWithMargins="0">
    <oddFooter>&amp;CStrona &amp;P</oddFooter>
  </headerFooter>
  <rowBreaks count="1" manualBreakCount="1">
    <brk id="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showGridLines="0" workbookViewId="0" topLeftCell="A33">
      <selection activeCell="A4" sqref="A4:C70"/>
    </sheetView>
  </sheetViews>
  <sheetFormatPr defaultColWidth="9.00390625" defaultRowHeight="12.75" customHeight="1"/>
  <cols>
    <col min="1" max="1" width="6.75390625" style="17" customWidth="1"/>
    <col min="2" max="2" width="53.75390625" style="17" customWidth="1"/>
    <col min="3" max="3" width="14.00390625" style="114" customWidth="1"/>
    <col min="4" max="6" width="9.125" style="68" customWidth="1"/>
    <col min="7" max="7" width="13.375" style="68" bestFit="1" customWidth="1"/>
    <col min="8" max="16384" width="9.125" style="68" customWidth="1"/>
  </cols>
  <sheetData>
    <row r="1" spans="1:3" ht="12.75" customHeight="1">
      <c r="A1" s="540" t="s">
        <v>115</v>
      </c>
      <c r="B1" s="540"/>
      <c r="C1" s="540"/>
    </row>
    <row r="2" spans="1:3" ht="12.75" customHeight="1">
      <c r="A2" s="539" t="s">
        <v>212</v>
      </c>
      <c r="B2" s="539"/>
      <c r="C2" s="539"/>
    </row>
    <row r="3" spans="1:3" ht="12.75" customHeight="1">
      <c r="A3" s="41"/>
      <c r="B3" s="41"/>
      <c r="C3" s="101"/>
    </row>
    <row r="4" spans="1:3" s="37" customFormat="1" ht="12.75" customHeight="1">
      <c r="A4" s="123" t="s">
        <v>21</v>
      </c>
      <c r="B4" s="124" t="s">
        <v>56</v>
      </c>
      <c r="C4" s="120" t="s">
        <v>182</v>
      </c>
    </row>
    <row r="5" spans="1:3" s="38" customFormat="1" ht="12.75" customHeight="1">
      <c r="A5" s="29">
        <v>400</v>
      </c>
      <c r="B5" s="11" t="s">
        <v>83</v>
      </c>
      <c r="C5" s="94">
        <f>C6</f>
        <v>42000</v>
      </c>
    </row>
    <row r="6" spans="1:3" ht="12.75" customHeight="1">
      <c r="A6" s="24">
        <v>40002</v>
      </c>
      <c r="B6" s="12" t="s">
        <v>99</v>
      </c>
      <c r="C6" s="104">
        <f>C7</f>
        <v>42000</v>
      </c>
    </row>
    <row r="7" spans="1:3" ht="12.75" customHeight="1">
      <c r="A7" s="24"/>
      <c r="B7" s="12" t="s">
        <v>56</v>
      </c>
      <c r="C7" s="104">
        <f>C8</f>
        <v>42000</v>
      </c>
    </row>
    <row r="8" spans="1:3" ht="12.75" customHeight="1">
      <c r="A8" s="30"/>
      <c r="B8" s="40" t="s">
        <v>156</v>
      </c>
      <c r="C8" s="102">
        <v>42000</v>
      </c>
    </row>
    <row r="9" spans="1:3" s="38" customFormat="1" ht="12.75" customHeight="1">
      <c r="A9" s="11">
        <v>600</v>
      </c>
      <c r="B9" s="11" t="s">
        <v>4</v>
      </c>
      <c r="C9" s="94">
        <f>C10+C13</f>
        <v>890000</v>
      </c>
    </row>
    <row r="10" spans="1:3" s="38" customFormat="1" ht="12.75" customHeight="1">
      <c r="A10" s="83">
        <v>60013</v>
      </c>
      <c r="B10" s="83" t="s">
        <v>197</v>
      </c>
      <c r="C10" s="115">
        <f>C11</f>
        <v>50000</v>
      </c>
    </row>
    <row r="11" spans="1:3" s="38" customFormat="1" ht="12.75" customHeight="1">
      <c r="A11" s="141"/>
      <c r="B11" s="83" t="s">
        <v>227</v>
      </c>
      <c r="C11" s="115">
        <v>50000</v>
      </c>
    </row>
    <row r="12" spans="1:3" s="38" customFormat="1" ht="12.75" customHeight="1">
      <c r="A12" s="141"/>
      <c r="B12" s="83" t="s">
        <v>232</v>
      </c>
      <c r="C12" s="115">
        <v>50000</v>
      </c>
    </row>
    <row r="13" spans="1:3" ht="12.75" customHeight="1">
      <c r="A13" s="12">
        <v>60016</v>
      </c>
      <c r="B13" s="12" t="s">
        <v>28</v>
      </c>
      <c r="C13" s="95">
        <f>C14</f>
        <v>840000</v>
      </c>
    </row>
    <row r="14" spans="1:3" ht="12.75" customHeight="1">
      <c r="A14" s="12"/>
      <c r="B14" s="12" t="s">
        <v>56</v>
      </c>
      <c r="C14" s="104">
        <f>C15+C18+C24+C23+C21+C22+C16+C17+C19+C20</f>
        <v>840000</v>
      </c>
    </row>
    <row r="15" spans="1:3" ht="12.75" customHeight="1">
      <c r="A15" s="83"/>
      <c r="B15" s="83" t="s">
        <v>109</v>
      </c>
      <c r="C15" s="142">
        <v>50000</v>
      </c>
    </row>
    <row r="16" spans="1:3" ht="26.25" customHeight="1">
      <c r="A16" s="83"/>
      <c r="B16" s="14" t="s">
        <v>235</v>
      </c>
      <c r="C16" s="142">
        <f>80000+100000</f>
        <v>180000</v>
      </c>
    </row>
    <row r="17" spans="1:3" ht="26.25" customHeight="1">
      <c r="A17" s="83"/>
      <c r="B17" s="14" t="s">
        <v>221</v>
      </c>
      <c r="C17" s="142">
        <f>100000+15000+30000</f>
        <v>145000</v>
      </c>
    </row>
    <row r="18" spans="1:3" ht="12.75" customHeight="1">
      <c r="A18" s="83"/>
      <c r="B18" s="83" t="s">
        <v>162</v>
      </c>
      <c r="C18" s="142">
        <v>100000</v>
      </c>
    </row>
    <row r="19" spans="1:3" ht="12.75" customHeight="1">
      <c r="A19" s="81"/>
      <c r="B19" s="83" t="s">
        <v>233</v>
      </c>
      <c r="C19" s="142">
        <v>50000</v>
      </c>
    </row>
    <row r="20" spans="1:3" ht="12.75" customHeight="1">
      <c r="A20" s="81"/>
      <c r="B20" s="83" t="s">
        <v>224</v>
      </c>
      <c r="C20" s="142">
        <v>50000</v>
      </c>
    </row>
    <row r="21" spans="1:3" ht="12.75" customHeight="1">
      <c r="A21" s="24"/>
      <c r="B21" s="28" t="s">
        <v>199</v>
      </c>
      <c r="C21" s="104">
        <v>50000</v>
      </c>
    </row>
    <row r="22" spans="1:3" ht="12.75" customHeight="1">
      <c r="A22" s="24"/>
      <c r="B22" s="28" t="s">
        <v>198</v>
      </c>
      <c r="C22" s="104">
        <v>40000</v>
      </c>
    </row>
    <row r="23" spans="1:3" ht="12.75" customHeight="1">
      <c r="A23" s="24"/>
      <c r="B23" s="28" t="s">
        <v>163</v>
      </c>
      <c r="C23" s="104">
        <f>50000+25000</f>
        <v>75000</v>
      </c>
    </row>
    <row r="24" spans="1:3" ht="12.75" customHeight="1">
      <c r="A24" s="12"/>
      <c r="B24" s="12" t="s">
        <v>110</v>
      </c>
      <c r="C24" s="104">
        <v>100000</v>
      </c>
    </row>
    <row r="25" spans="1:3" s="38" customFormat="1" ht="12.75" customHeight="1">
      <c r="A25" s="29">
        <v>700</v>
      </c>
      <c r="B25" s="11" t="s">
        <v>6</v>
      </c>
      <c r="C25" s="97">
        <f>C26</f>
        <v>210000</v>
      </c>
    </row>
    <row r="26" spans="1:3" ht="12.75" customHeight="1">
      <c r="A26" s="24">
        <v>70005</v>
      </c>
      <c r="B26" s="12" t="s">
        <v>30</v>
      </c>
      <c r="C26" s="98">
        <f>C27</f>
        <v>210000</v>
      </c>
    </row>
    <row r="27" spans="1:3" ht="12.75" customHeight="1">
      <c r="A27" s="24"/>
      <c r="B27" s="83" t="s">
        <v>56</v>
      </c>
      <c r="C27" s="108">
        <f>C28+C29+C30</f>
        <v>210000</v>
      </c>
    </row>
    <row r="28" spans="1:3" ht="12.75" customHeight="1">
      <c r="A28" s="24"/>
      <c r="B28" s="83" t="s">
        <v>230</v>
      </c>
      <c r="C28" s="108">
        <v>30000</v>
      </c>
    </row>
    <row r="29" spans="1:3" ht="12.75" customHeight="1">
      <c r="A29" s="24"/>
      <c r="B29" s="12" t="s">
        <v>222</v>
      </c>
      <c r="C29" s="105">
        <v>80000</v>
      </c>
    </row>
    <row r="30" spans="1:3" ht="12.75" customHeight="1">
      <c r="A30" s="24"/>
      <c r="B30" s="12" t="s">
        <v>231</v>
      </c>
      <c r="C30" s="105">
        <v>100000</v>
      </c>
    </row>
    <row r="31" spans="1:3" s="38" customFormat="1" ht="12.75" customHeight="1">
      <c r="A31" s="29">
        <v>710</v>
      </c>
      <c r="B31" s="11" t="s">
        <v>31</v>
      </c>
      <c r="C31" s="97">
        <f>C32</f>
        <v>50000</v>
      </c>
    </row>
    <row r="32" spans="1:3" ht="12.75" customHeight="1">
      <c r="A32" s="24">
        <v>71035</v>
      </c>
      <c r="B32" s="12" t="s">
        <v>32</v>
      </c>
      <c r="C32" s="98">
        <f>C33</f>
        <v>50000</v>
      </c>
    </row>
    <row r="33" spans="1:3" ht="12.75" customHeight="1">
      <c r="A33" s="24"/>
      <c r="B33" s="12" t="s">
        <v>56</v>
      </c>
      <c r="C33" s="105">
        <f>C34</f>
        <v>50000</v>
      </c>
    </row>
    <row r="34" spans="1:3" ht="12.75" customHeight="1">
      <c r="A34" s="30"/>
      <c r="B34" s="40" t="s">
        <v>111</v>
      </c>
      <c r="C34" s="107">
        <v>50000</v>
      </c>
    </row>
    <row r="35" spans="1:3" s="38" customFormat="1" ht="12.75" customHeight="1">
      <c r="A35" s="25">
        <v>750</v>
      </c>
      <c r="B35" s="45" t="s">
        <v>7</v>
      </c>
      <c r="C35" s="103">
        <f>C36</f>
        <v>150000</v>
      </c>
    </row>
    <row r="36" spans="1:3" ht="12.75" customHeight="1">
      <c r="A36" s="26">
        <v>75023</v>
      </c>
      <c r="B36" s="46" t="s">
        <v>35</v>
      </c>
      <c r="C36" s="95">
        <f>C37</f>
        <v>150000</v>
      </c>
    </row>
    <row r="37" spans="1:3" ht="12.75" customHeight="1">
      <c r="A37" s="26"/>
      <c r="B37" s="46" t="s">
        <v>56</v>
      </c>
      <c r="C37" s="104">
        <f>C38+C39</f>
        <v>150000</v>
      </c>
    </row>
    <row r="38" spans="1:3" ht="12.75" customHeight="1">
      <c r="A38" s="26"/>
      <c r="B38" s="46" t="s">
        <v>157</v>
      </c>
      <c r="C38" s="104">
        <v>50000</v>
      </c>
    </row>
    <row r="39" spans="1:3" ht="12.75" customHeight="1">
      <c r="A39" s="26"/>
      <c r="B39" s="46" t="s">
        <v>158</v>
      </c>
      <c r="C39" s="104">
        <v>100000</v>
      </c>
    </row>
    <row r="40" spans="1:3" s="38" customFormat="1" ht="12.75" customHeight="1">
      <c r="A40" s="29">
        <v>754</v>
      </c>
      <c r="B40" s="11" t="s">
        <v>37</v>
      </c>
      <c r="C40" s="97">
        <f>C41</f>
        <v>5000</v>
      </c>
    </row>
    <row r="41" spans="1:3" ht="12.75" customHeight="1">
      <c r="A41" s="24">
        <v>75412</v>
      </c>
      <c r="B41" s="12" t="s">
        <v>38</v>
      </c>
      <c r="C41" s="98">
        <f>C42</f>
        <v>5000</v>
      </c>
    </row>
    <row r="42" spans="1:3" ht="12.75" customHeight="1">
      <c r="A42" s="24"/>
      <c r="B42" s="12" t="s">
        <v>56</v>
      </c>
      <c r="C42" s="105">
        <f>C43</f>
        <v>5000</v>
      </c>
    </row>
    <row r="43" spans="1:3" ht="12.75" customHeight="1">
      <c r="A43" s="30"/>
      <c r="B43" s="40" t="s">
        <v>157</v>
      </c>
      <c r="C43" s="107">
        <v>5000</v>
      </c>
    </row>
    <row r="44" spans="1:3" s="38" customFormat="1" ht="12.75" customHeight="1">
      <c r="A44" s="29">
        <v>801</v>
      </c>
      <c r="B44" s="11" t="s">
        <v>9</v>
      </c>
      <c r="C44" s="97">
        <f>C45</f>
        <v>2829686.8</v>
      </c>
    </row>
    <row r="45" spans="1:3" ht="12.75" customHeight="1">
      <c r="A45" s="24">
        <v>80101</v>
      </c>
      <c r="B45" s="12" t="s">
        <v>42</v>
      </c>
      <c r="C45" s="98">
        <f>C46</f>
        <v>2829686.8</v>
      </c>
    </row>
    <row r="46" spans="1:3" ht="12.75" customHeight="1">
      <c r="A46" s="81"/>
      <c r="B46" s="83" t="s">
        <v>56</v>
      </c>
      <c r="C46" s="108">
        <f>C49+C50+C47+C48+C51</f>
        <v>2829686.8</v>
      </c>
    </row>
    <row r="47" spans="1:3" ht="12.75" customHeight="1">
      <c r="A47" s="81"/>
      <c r="B47" s="12" t="s">
        <v>179</v>
      </c>
      <c r="C47" s="108">
        <v>17000</v>
      </c>
    </row>
    <row r="48" spans="1:3" ht="12.75" customHeight="1">
      <c r="A48" s="81"/>
      <c r="B48" s="12" t="s">
        <v>225</v>
      </c>
      <c r="C48" s="108">
        <v>5000</v>
      </c>
    </row>
    <row r="49" spans="1:3" ht="12.75" customHeight="1">
      <c r="A49" s="81"/>
      <c r="B49" s="83" t="s">
        <v>215</v>
      </c>
      <c r="C49" s="108">
        <v>70000</v>
      </c>
    </row>
    <row r="50" spans="1:3" ht="25.5" customHeight="1">
      <c r="A50" s="24"/>
      <c r="B50" s="12" t="s">
        <v>180</v>
      </c>
      <c r="C50" s="105">
        <v>410653.8</v>
      </c>
    </row>
    <row r="51" spans="1:3" ht="12.75" customHeight="1">
      <c r="A51" s="30"/>
      <c r="B51" s="40"/>
      <c r="C51" s="107">
        <v>2327033</v>
      </c>
    </row>
    <row r="52" spans="1:3" ht="12.75" customHeight="1">
      <c r="A52" s="29">
        <v>900</v>
      </c>
      <c r="B52" s="11" t="s">
        <v>10</v>
      </c>
      <c r="C52" s="93">
        <f>C53+C56+C59</f>
        <v>4016664.5300000003</v>
      </c>
    </row>
    <row r="53" spans="1:3" ht="12.75" customHeight="1">
      <c r="A53" s="24">
        <v>90001</v>
      </c>
      <c r="B53" s="12" t="s">
        <v>55</v>
      </c>
      <c r="C53" s="111">
        <f>C54</f>
        <v>60000</v>
      </c>
    </row>
    <row r="54" spans="1:3" ht="12.75" customHeight="1">
      <c r="A54" s="24"/>
      <c r="B54" s="12" t="s">
        <v>56</v>
      </c>
      <c r="C54" s="104">
        <f>C55</f>
        <v>60000</v>
      </c>
    </row>
    <row r="55" spans="1:3" ht="12.75" customHeight="1">
      <c r="A55" s="24"/>
      <c r="B55" s="83" t="s">
        <v>228</v>
      </c>
      <c r="C55" s="142">
        <v>60000</v>
      </c>
    </row>
    <row r="56" spans="1:3" ht="12.75" customHeight="1">
      <c r="A56" s="33">
        <v>90002</v>
      </c>
      <c r="B56" s="28" t="s">
        <v>151</v>
      </c>
      <c r="C56" s="104">
        <f>C57</f>
        <v>3826664.5300000003</v>
      </c>
    </row>
    <row r="57" spans="1:3" ht="12.75" customHeight="1">
      <c r="A57" s="34"/>
      <c r="B57" s="28" t="s">
        <v>56</v>
      </c>
      <c r="C57" s="104">
        <f>C58</f>
        <v>3826664.5300000003</v>
      </c>
    </row>
    <row r="58" spans="1:3" ht="12.75" customHeight="1">
      <c r="A58" s="60"/>
      <c r="B58" s="40" t="s">
        <v>178</v>
      </c>
      <c r="C58" s="102">
        <f>4186000-354335.47-5000</f>
        <v>3826664.5300000003</v>
      </c>
    </row>
    <row r="59" spans="1:3" ht="12.75" customHeight="1">
      <c r="A59" s="151">
        <v>90015</v>
      </c>
      <c r="B59" s="42" t="s">
        <v>59</v>
      </c>
      <c r="C59" s="165">
        <f>C60</f>
        <v>130000</v>
      </c>
    </row>
    <row r="60" spans="1:3" ht="12.75" customHeight="1">
      <c r="A60" s="24"/>
      <c r="B60" s="12" t="s">
        <v>56</v>
      </c>
      <c r="C60" s="104">
        <f>C61+C62+C63+C64</f>
        <v>130000</v>
      </c>
    </row>
    <row r="61" spans="1:3" ht="12.75" customHeight="1">
      <c r="A61" s="24"/>
      <c r="B61" s="12" t="s">
        <v>200</v>
      </c>
      <c r="C61" s="104">
        <f>30000+10000</f>
        <v>40000</v>
      </c>
    </row>
    <row r="62" spans="1:3" ht="12.75" customHeight="1">
      <c r="A62" s="24"/>
      <c r="B62" s="12" t="s">
        <v>201</v>
      </c>
      <c r="C62" s="104">
        <v>30000</v>
      </c>
    </row>
    <row r="63" spans="1:3" ht="12.75" customHeight="1">
      <c r="A63" s="24"/>
      <c r="B63" s="12" t="s">
        <v>202</v>
      </c>
      <c r="C63" s="104">
        <v>30000</v>
      </c>
    </row>
    <row r="64" spans="1:3" ht="12.75" customHeight="1">
      <c r="A64" s="30"/>
      <c r="B64" s="40" t="s">
        <v>203</v>
      </c>
      <c r="C64" s="102">
        <v>30000</v>
      </c>
    </row>
    <row r="65" spans="1:3" s="38" customFormat="1" ht="12.75" customHeight="1">
      <c r="A65" s="29">
        <v>926</v>
      </c>
      <c r="B65" s="11" t="s">
        <v>62</v>
      </c>
      <c r="C65" s="112">
        <f>C66</f>
        <v>63000</v>
      </c>
    </row>
    <row r="66" spans="1:3" ht="12.75" customHeight="1">
      <c r="A66" s="24">
        <v>92605</v>
      </c>
      <c r="B66" s="12" t="s">
        <v>108</v>
      </c>
      <c r="C66" s="113">
        <f>C67</f>
        <v>63000</v>
      </c>
    </row>
    <row r="67" spans="1:3" ht="12.75" customHeight="1">
      <c r="A67" s="24"/>
      <c r="B67" s="12" t="s">
        <v>56</v>
      </c>
      <c r="C67" s="105">
        <f>C68</f>
        <v>63000</v>
      </c>
    </row>
    <row r="68" spans="1:3" ht="12.75" customHeight="1">
      <c r="A68" s="24"/>
      <c r="B68" s="152" t="s">
        <v>223</v>
      </c>
      <c r="C68" s="108">
        <f>54000+9000</f>
        <v>63000</v>
      </c>
    </row>
    <row r="69" spans="1:3" ht="12.75" customHeight="1">
      <c r="A69" s="132"/>
      <c r="B69" s="133" t="s">
        <v>12</v>
      </c>
      <c r="C69" s="120">
        <f>C65+C52+C44+C40+C35+C31+C25+C9+C5</f>
        <v>8256351.33</v>
      </c>
    </row>
    <row r="70" ht="12.75" customHeight="1">
      <c r="C70" s="114">
        <f>C69-C51</f>
        <v>5929318.33</v>
      </c>
    </row>
  </sheetData>
  <mergeCells count="2">
    <mergeCell ref="A1:C1"/>
    <mergeCell ref="A2:C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1" manualBreakCount="1">
    <brk id="5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46"/>
  <sheetViews>
    <sheetView zoomScale="110" zoomScaleNormal="110" workbookViewId="0" topLeftCell="A127">
      <selection activeCell="H146" sqref="H146"/>
    </sheetView>
  </sheetViews>
  <sheetFormatPr defaultColWidth="9.00390625" defaultRowHeight="12.75"/>
  <cols>
    <col min="1" max="1" width="5.00390625" style="413" customWidth="1"/>
    <col min="2" max="3" width="8.375" style="416" customWidth="1"/>
    <col min="4" max="5" width="16.00390625" style="423" customWidth="1"/>
    <col min="6" max="7" width="17.625" style="423" customWidth="1"/>
    <col min="8" max="8" width="11.75390625" style="415" customWidth="1"/>
    <col min="9" max="16384" width="9.125" style="53" customWidth="1"/>
  </cols>
  <sheetData>
    <row r="1" spans="1:5" ht="15.75">
      <c r="A1" s="413" t="s">
        <v>553</v>
      </c>
      <c r="B1" s="416" t="s">
        <v>554</v>
      </c>
      <c r="C1" s="416" t="s">
        <v>555</v>
      </c>
      <c r="D1" s="423" t="s">
        <v>429</v>
      </c>
      <c r="E1" s="423" t="s">
        <v>104</v>
      </c>
    </row>
    <row r="2" spans="1:5" ht="15.75">
      <c r="A2" s="428" t="s">
        <v>66</v>
      </c>
      <c r="B2" s="429" t="s">
        <v>67</v>
      </c>
      <c r="C2" s="429" t="s">
        <v>318</v>
      </c>
      <c r="D2" s="430">
        <v>6400</v>
      </c>
      <c r="E2" s="430">
        <v>6174.67</v>
      </c>
    </row>
    <row r="3" spans="1:5" ht="15.75">
      <c r="A3" s="419"/>
      <c r="B3" s="420"/>
      <c r="C3" s="420"/>
      <c r="D3" s="425"/>
      <c r="E3" s="425"/>
    </row>
    <row r="4" spans="1:5" ht="15.75">
      <c r="A4" s="417" t="s">
        <v>66</v>
      </c>
      <c r="B4" s="418" t="s">
        <v>274</v>
      </c>
      <c r="C4" s="418" t="s">
        <v>323</v>
      </c>
      <c r="D4" s="424">
        <v>346.47</v>
      </c>
      <c r="E4" s="424">
        <v>308.99</v>
      </c>
    </row>
    <row r="5" spans="1:7" ht="15.75">
      <c r="A5" s="413" t="s">
        <v>66</v>
      </c>
      <c r="B5" s="416" t="s">
        <v>274</v>
      </c>
      <c r="C5" s="416" t="s">
        <v>319</v>
      </c>
      <c r="D5" s="423">
        <v>813.6</v>
      </c>
      <c r="E5" s="423">
        <v>813.6</v>
      </c>
      <c r="F5" s="423">
        <f>SUM(D5:D8)</f>
        <v>93284.53</v>
      </c>
      <c r="G5" s="423">
        <f>SUM(E5:E8)</f>
        <v>91394.03</v>
      </c>
    </row>
    <row r="6" spans="1:5" ht="15.75">
      <c r="A6" s="413" t="s">
        <v>66</v>
      </c>
      <c r="B6" s="416" t="s">
        <v>274</v>
      </c>
      <c r="C6" s="416" t="s">
        <v>320</v>
      </c>
      <c r="D6" s="423">
        <v>91795.09</v>
      </c>
      <c r="E6" s="423">
        <v>89904.59</v>
      </c>
    </row>
    <row r="7" spans="1:5" ht="15.75">
      <c r="A7" s="413" t="s">
        <v>66</v>
      </c>
      <c r="B7" s="416" t="s">
        <v>274</v>
      </c>
      <c r="C7" s="416" t="s">
        <v>348</v>
      </c>
      <c r="D7" s="423">
        <v>20</v>
      </c>
      <c r="E7" s="423">
        <v>20</v>
      </c>
    </row>
    <row r="8" spans="1:5" ht="15.75">
      <c r="A8" s="413" t="s">
        <v>66</v>
      </c>
      <c r="B8" s="416" t="s">
        <v>274</v>
      </c>
      <c r="C8" s="416">
        <v>4750</v>
      </c>
      <c r="D8" s="423">
        <v>655.84</v>
      </c>
      <c r="E8" s="423">
        <v>655.84</v>
      </c>
    </row>
    <row r="10" spans="1:5" ht="15.75">
      <c r="A10" s="413" t="s">
        <v>68</v>
      </c>
      <c r="B10" s="416" t="s">
        <v>69</v>
      </c>
      <c r="C10" s="416" t="s">
        <v>322</v>
      </c>
      <c r="D10" s="423">
        <v>80</v>
      </c>
      <c r="E10" s="423">
        <v>20</v>
      </c>
    </row>
    <row r="11" spans="1:7" ht="15.75">
      <c r="A11" s="417" t="s">
        <v>68</v>
      </c>
      <c r="B11" s="418" t="s">
        <v>69</v>
      </c>
      <c r="C11" s="418" t="s">
        <v>323</v>
      </c>
      <c r="D11" s="424">
        <v>8050</v>
      </c>
      <c r="E11" s="424">
        <v>8032.04</v>
      </c>
      <c r="F11" s="424">
        <f>D11+D12+D13+D14+D15</f>
        <v>28750</v>
      </c>
      <c r="G11" s="424">
        <f>E11+E12+E13+E14+E15</f>
        <v>28603.79</v>
      </c>
    </row>
    <row r="12" spans="1:7" ht="15.75">
      <c r="A12" s="417" t="s">
        <v>68</v>
      </c>
      <c r="B12" s="418" t="s">
        <v>69</v>
      </c>
      <c r="C12" s="418" t="s">
        <v>324</v>
      </c>
      <c r="D12" s="424">
        <v>600</v>
      </c>
      <c r="E12" s="424">
        <v>569.63</v>
      </c>
      <c r="F12" s="423">
        <f>D10+D16+D17+D18</f>
        <v>17250</v>
      </c>
      <c r="G12" s="423">
        <f>E10+E16+E17+E18</f>
        <v>17136.86</v>
      </c>
    </row>
    <row r="13" spans="1:5" ht="15.75">
      <c r="A13" s="417" t="s">
        <v>68</v>
      </c>
      <c r="B13" s="418" t="s">
        <v>69</v>
      </c>
      <c r="C13" s="418" t="s">
        <v>325</v>
      </c>
      <c r="D13" s="424">
        <v>2330</v>
      </c>
      <c r="E13" s="424">
        <v>2317.94</v>
      </c>
    </row>
    <row r="14" spans="1:5" ht="15.75">
      <c r="A14" s="417" t="s">
        <v>68</v>
      </c>
      <c r="B14" s="418" t="s">
        <v>69</v>
      </c>
      <c r="C14" s="418" t="s">
        <v>326</v>
      </c>
      <c r="D14" s="424">
        <v>200</v>
      </c>
      <c r="E14" s="424">
        <v>193.38</v>
      </c>
    </row>
    <row r="15" spans="1:5" ht="15.75">
      <c r="A15" s="417" t="s">
        <v>68</v>
      </c>
      <c r="B15" s="418" t="s">
        <v>69</v>
      </c>
      <c r="C15" s="418" t="s">
        <v>327</v>
      </c>
      <c r="D15" s="424">
        <v>17570</v>
      </c>
      <c r="E15" s="424">
        <v>17490.8</v>
      </c>
    </row>
    <row r="16" spans="1:5" ht="15.75">
      <c r="A16" s="413" t="s">
        <v>68</v>
      </c>
      <c r="B16" s="416" t="s">
        <v>69</v>
      </c>
      <c r="C16" s="416" t="s">
        <v>329</v>
      </c>
      <c r="D16" s="423">
        <v>120</v>
      </c>
      <c r="E16" s="423">
        <v>120</v>
      </c>
    </row>
    <row r="17" spans="1:5" ht="15.75">
      <c r="A17" s="413" t="s">
        <v>68</v>
      </c>
      <c r="B17" s="416" t="s">
        <v>69</v>
      </c>
      <c r="C17" s="416" t="s">
        <v>319</v>
      </c>
      <c r="D17" s="423">
        <v>14020</v>
      </c>
      <c r="E17" s="423">
        <v>13998.74</v>
      </c>
    </row>
    <row r="18" spans="1:5" ht="15.75">
      <c r="A18" s="413" t="s">
        <v>68</v>
      </c>
      <c r="B18" s="416" t="s">
        <v>69</v>
      </c>
      <c r="C18" s="416" t="s">
        <v>330</v>
      </c>
      <c r="D18" s="423">
        <v>3030</v>
      </c>
      <c r="E18" s="423">
        <v>2998.12</v>
      </c>
    </row>
    <row r="20" spans="1:5" ht="15.75">
      <c r="A20" s="421" t="s">
        <v>331</v>
      </c>
      <c r="B20" s="422" t="s">
        <v>332</v>
      </c>
      <c r="C20" s="422" t="s">
        <v>333</v>
      </c>
      <c r="D20" s="426">
        <v>10000</v>
      </c>
      <c r="E20" s="426">
        <v>0</v>
      </c>
    </row>
    <row r="21" spans="1:5" ht="15.75">
      <c r="A21" s="419"/>
      <c r="B21" s="420"/>
      <c r="C21" s="420"/>
      <c r="D21" s="425"/>
      <c r="E21" s="425"/>
    </row>
    <row r="22" spans="1:5" ht="15.75">
      <c r="A22" s="428" t="s">
        <v>331</v>
      </c>
      <c r="B22" s="429" t="s">
        <v>334</v>
      </c>
      <c r="C22" s="429" t="s">
        <v>335</v>
      </c>
      <c r="D22" s="430">
        <v>274030</v>
      </c>
      <c r="E22" s="430">
        <v>274027.24</v>
      </c>
    </row>
    <row r="23" spans="1:7" ht="15.75">
      <c r="A23" s="413" t="s">
        <v>331</v>
      </c>
      <c r="B23" s="416" t="s">
        <v>334</v>
      </c>
      <c r="C23" s="416" t="s">
        <v>328</v>
      </c>
      <c r="D23" s="423">
        <v>1000</v>
      </c>
      <c r="E23" s="423">
        <v>1000</v>
      </c>
      <c r="F23" s="423">
        <f>D23+D24</f>
        <v>60000</v>
      </c>
      <c r="G23" s="423">
        <f>E23+E24</f>
        <v>60000</v>
      </c>
    </row>
    <row r="24" spans="1:5" ht="15.75">
      <c r="A24" s="413" t="s">
        <v>331</v>
      </c>
      <c r="B24" s="416" t="s">
        <v>334</v>
      </c>
      <c r="C24" s="416" t="s">
        <v>343</v>
      </c>
      <c r="D24" s="423">
        <v>59000</v>
      </c>
      <c r="E24" s="423">
        <v>59000</v>
      </c>
    </row>
    <row r="25" spans="1:7" ht="15.75">
      <c r="A25" s="421" t="s">
        <v>331</v>
      </c>
      <c r="B25" s="422" t="s">
        <v>334</v>
      </c>
      <c r="C25" s="422" t="s">
        <v>556</v>
      </c>
      <c r="D25" s="426">
        <v>247</v>
      </c>
      <c r="E25" s="426">
        <v>245.33</v>
      </c>
      <c r="F25" s="426">
        <f>D25+D26+D27</f>
        <v>24207</v>
      </c>
      <c r="G25" s="426">
        <f>E25+E26+E27</f>
        <v>23486.33</v>
      </c>
    </row>
    <row r="26" spans="1:5" ht="15.75">
      <c r="A26" s="421" t="s">
        <v>331</v>
      </c>
      <c r="B26" s="422" t="s">
        <v>334</v>
      </c>
      <c r="C26" s="422" t="s">
        <v>473</v>
      </c>
      <c r="D26" s="426">
        <v>15372</v>
      </c>
      <c r="E26" s="426">
        <v>15372</v>
      </c>
    </row>
    <row r="27" spans="1:5" ht="15.75">
      <c r="A27" s="421" t="s">
        <v>331</v>
      </c>
      <c r="B27" s="422" t="s">
        <v>334</v>
      </c>
      <c r="C27" s="422" t="s">
        <v>557</v>
      </c>
      <c r="D27" s="426">
        <v>8588</v>
      </c>
      <c r="E27" s="426">
        <v>7869</v>
      </c>
    </row>
    <row r="28" spans="1:5" ht="15.75">
      <c r="A28" s="419"/>
      <c r="B28" s="420"/>
      <c r="C28" s="420"/>
      <c r="D28" s="425"/>
      <c r="E28" s="425"/>
    </row>
    <row r="29" spans="1:7" ht="15.75">
      <c r="A29" s="413" t="s">
        <v>331</v>
      </c>
      <c r="B29" s="416" t="s">
        <v>464</v>
      </c>
      <c r="C29" s="416" t="s">
        <v>343</v>
      </c>
      <c r="D29" s="423">
        <v>12587.57</v>
      </c>
      <c r="E29" s="423">
        <v>12587.21</v>
      </c>
      <c r="F29" s="423">
        <f>D29+D30</f>
        <v>62935.57</v>
      </c>
      <c r="G29" s="423">
        <f>E29+E30</f>
        <v>62935.21</v>
      </c>
    </row>
    <row r="30" spans="1:8" ht="15.75">
      <c r="A30" s="413" t="s">
        <v>331</v>
      </c>
      <c r="B30" s="416" t="s">
        <v>464</v>
      </c>
      <c r="C30" s="416" t="s">
        <v>343</v>
      </c>
      <c r="D30" s="423">
        <v>50348</v>
      </c>
      <c r="E30" s="423">
        <v>50348</v>
      </c>
      <c r="H30" s="414"/>
    </row>
    <row r="31" ht="15.75">
      <c r="H31" s="414"/>
    </row>
    <row r="32" spans="1:7" ht="15.75">
      <c r="A32" s="413" t="s">
        <v>331</v>
      </c>
      <c r="B32" s="416" t="s">
        <v>336</v>
      </c>
      <c r="C32" s="416" t="s">
        <v>337</v>
      </c>
      <c r="D32" s="423">
        <v>100</v>
      </c>
      <c r="E32" s="423">
        <v>31.27</v>
      </c>
      <c r="F32" s="423">
        <f>D32+D33</f>
        <v>5290</v>
      </c>
      <c r="G32" s="423">
        <f>E32+E33</f>
        <v>5020.27</v>
      </c>
    </row>
    <row r="33" spans="1:5" ht="15.75">
      <c r="A33" s="413" t="s">
        <v>331</v>
      </c>
      <c r="B33" s="416" t="s">
        <v>336</v>
      </c>
      <c r="C33" s="416" t="s">
        <v>319</v>
      </c>
      <c r="D33" s="423">
        <v>5190</v>
      </c>
      <c r="E33" s="423">
        <v>4989</v>
      </c>
    </row>
    <row r="35" spans="1:7" ht="15.75">
      <c r="A35" s="417" t="s">
        <v>338</v>
      </c>
      <c r="B35" s="418" t="s">
        <v>339</v>
      </c>
      <c r="C35" s="418" t="s">
        <v>340</v>
      </c>
      <c r="D35" s="424">
        <v>18200</v>
      </c>
      <c r="E35" s="424">
        <v>18178.06</v>
      </c>
      <c r="F35" s="424">
        <f>D35+D36+D37</f>
        <v>21350</v>
      </c>
      <c r="G35" s="424">
        <f>E35+E36+E37</f>
        <v>21235.510000000002</v>
      </c>
    </row>
    <row r="36" spans="1:7" ht="15.75">
      <c r="A36" s="417" t="s">
        <v>338</v>
      </c>
      <c r="B36" s="418" t="s">
        <v>339</v>
      </c>
      <c r="C36" s="418" t="s">
        <v>325</v>
      </c>
      <c r="D36" s="424">
        <v>2800</v>
      </c>
      <c r="E36" s="424">
        <v>2758.13</v>
      </c>
      <c r="F36" s="423">
        <f>D38+D39</f>
        <v>5050</v>
      </c>
      <c r="G36" s="423">
        <f>E38+E39</f>
        <v>5021.79</v>
      </c>
    </row>
    <row r="37" spans="1:5" ht="15.75">
      <c r="A37" s="417" t="s">
        <v>338</v>
      </c>
      <c r="B37" s="418" t="s">
        <v>339</v>
      </c>
      <c r="C37" s="418" t="s">
        <v>326</v>
      </c>
      <c r="D37" s="424">
        <v>350</v>
      </c>
      <c r="E37" s="424">
        <v>299.32</v>
      </c>
    </row>
    <row r="38" spans="1:5" ht="15.75">
      <c r="A38" s="413" t="s">
        <v>338</v>
      </c>
      <c r="B38" s="416" t="s">
        <v>339</v>
      </c>
      <c r="C38" s="416" t="s">
        <v>337</v>
      </c>
      <c r="D38" s="423">
        <v>600</v>
      </c>
      <c r="E38" s="423">
        <v>595.42</v>
      </c>
    </row>
    <row r="39" spans="1:5" ht="15.75">
      <c r="A39" s="413" t="s">
        <v>338</v>
      </c>
      <c r="B39" s="416" t="s">
        <v>339</v>
      </c>
      <c r="C39" s="416" t="s">
        <v>319</v>
      </c>
      <c r="D39" s="423">
        <v>4450</v>
      </c>
      <c r="E39" s="423">
        <v>4426.37</v>
      </c>
    </row>
    <row r="41" spans="1:5" ht="15.75">
      <c r="A41" s="421" t="s">
        <v>181</v>
      </c>
      <c r="B41" s="422" t="s">
        <v>341</v>
      </c>
      <c r="C41" s="422" t="s">
        <v>342</v>
      </c>
      <c r="D41" s="426">
        <v>80000</v>
      </c>
      <c r="E41" s="426">
        <v>80000</v>
      </c>
    </row>
    <row r="42" spans="1:5" ht="15.75">
      <c r="A42" s="419"/>
      <c r="B42" s="420"/>
      <c r="C42" s="420"/>
      <c r="D42" s="425"/>
      <c r="E42" s="425"/>
    </row>
    <row r="43" spans="1:5" ht="15.75">
      <c r="A43" s="421" t="s">
        <v>181</v>
      </c>
      <c r="B43" s="422" t="s">
        <v>474</v>
      </c>
      <c r="C43" s="422" t="s">
        <v>342</v>
      </c>
      <c r="D43" s="426">
        <v>244200</v>
      </c>
      <c r="E43" s="426">
        <v>244119.31</v>
      </c>
    </row>
    <row r="44" spans="1:5" ht="15.75">
      <c r="A44" s="419"/>
      <c r="B44" s="420"/>
      <c r="C44" s="420"/>
      <c r="D44" s="425"/>
      <c r="E44" s="425"/>
    </row>
    <row r="45" spans="1:7" ht="15.75">
      <c r="A45" s="413" t="s">
        <v>181</v>
      </c>
      <c r="B45" s="416" t="s">
        <v>286</v>
      </c>
      <c r="C45" s="416" t="s">
        <v>328</v>
      </c>
      <c r="D45" s="423">
        <v>25500</v>
      </c>
      <c r="E45" s="423">
        <v>25399.51</v>
      </c>
      <c r="F45" s="423">
        <f>D45+D46+D47+D48+D49</f>
        <v>396818</v>
      </c>
      <c r="G45" s="423">
        <f>E45+E46+E47+E48+E49</f>
        <v>396260.32</v>
      </c>
    </row>
    <row r="46" spans="1:7" ht="15.75">
      <c r="A46" s="413" t="s">
        <v>181</v>
      </c>
      <c r="B46" s="416" t="s">
        <v>286</v>
      </c>
      <c r="C46" s="416" t="s">
        <v>343</v>
      </c>
      <c r="D46" s="423">
        <v>328218</v>
      </c>
      <c r="E46" s="423">
        <v>328113.25</v>
      </c>
      <c r="F46" s="426">
        <f>D50+D51+D52</f>
        <v>4786898.33</v>
      </c>
      <c r="G46" s="426">
        <f>E50+E51+E52</f>
        <v>4654785.58</v>
      </c>
    </row>
    <row r="47" spans="1:5" ht="15.75">
      <c r="A47" s="413" t="s">
        <v>181</v>
      </c>
      <c r="B47" s="416" t="s">
        <v>286</v>
      </c>
      <c r="C47" s="416" t="s">
        <v>319</v>
      </c>
      <c r="D47" s="423">
        <v>38500</v>
      </c>
      <c r="E47" s="423">
        <v>38152.56</v>
      </c>
    </row>
    <row r="48" spans="1:5" ht="15.75">
      <c r="A48" s="413" t="s">
        <v>181</v>
      </c>
      <c r="B48" s="416" t="s">
        <v>286</v>
      </c>
      <c r="C48" s="416" t="s">
        <v>351</v>
      </c>
      <c r="D48" s="423">
        <v>600</v>
      </c>
      <c r="E48" s="423">
        <v>595</v>
      </c>
    </row>
    <row r="49" spans="1:5" ht="15.75">
      <c r="A49" s="413" t="s">
        <v>181</v>
      </c>
      <c r="B49" s="416" t="s">
        <v>286</v>
      </c>
      <c r="C49" s="416" t="s">
        <v>475</v>
      </c>
      <c r="D49" s="423">
        <v>4000</v>
      </c>
      <c r="E49" s="423">
        <v>4000</v>
      </c>
    </row>
    <row r="50" spans="1:5" ht="15.75">
      <c r="A50" s="421" t="s">
        <v>181</v>
      </c>
      <c r="B50" s="422" t="s">
        <v>286</v>
      </c>
      <c r="C50" s="422" t="s">
        <v>333</v>
      </c>
      <c r="D50" s="426">
        <v>2355919.04</v>
      </c>
      <c r="E50" s="426">
        <v>2223806.29</v>
      </c>
    </row>
    <row r="51" spans="1:5" ht="15.75">
      <c r="A51" s="421" t="s">
        <v>181</v>
      </c>
      <c r="B51" s="422" t="s">
        <v>286</v>
      </c>
      <c r="C51" s="422" t="s">
        <v>473</v>
      </c>
      <c r="D51" s="426">
        <v>1236289.38</v>
      </c>
      <c r="E51" s="426">
        <v>1236289.38</v>
      </c>
    </row>
    <row r="52" spans="1:5" ht="15.75">
      <c r="A52" s="421" t="s">
        <v>181</v>
      </c>
      <c r="B52" s="422" t="s">
        <v>286</v>
      </c>
      <c r="C52" s="422" t="s">
        <v>557</v>
      </c>
      <c r="D52" s="426">
        <v>1194689.91</v>
      </c>
      <c r="E52" s="426">
        <v>1194689.91</v>
      </c>
    </row>
    <row r="53" spans="1:6" ht="15.75">
      <c r="A53" s="419"/>
      <c r="B53" s="420"/>
      <c r="C53" s="420"/>
      <c r="D53" s="425"/>
      <c r="E53" s="425"/>
      <c r="F53" s="425"/>
    </row>
    <row r="54" spans="1:5" ht="15.75">
      <c r="A54" s="413" t="s">
        <v>181</v>
      </c>
      <c r="B54" s="416" t="s">
        <v>545</v>
      </c>
      <c r="C54" s="416" t="s">
        <v>343</v>
      </c>
      <c r="D54" s="423">
        <v>11541</v>
      </c>
      <c r="E54" s="423">
        <v>11541</v>
      </c>
    </row>
    <row r="56" spans="1:7" ht="15.75">
      <c r="A56" s="413" t="s">
        <v>181</v>
      </c>
      <c r="B56" s="416" t="s">
        <v>467</v>
      </c>
      <c r="C56" s="416" t="s">
        <v>343</v>
      </c>
      <c r="D56" s="423">
        <v>44641</v>
      </c>
      <c r="E56" s="423">
        <v>44640.24</v>
      </c>
      <c r="F56" s="423">
        <f>D56+D57</f>
        <v>223190</v>
      </c>
      <c r="G56" s="423">
        <f>E56+E57</f>
        <v>223189.24</v>
      </c>
    </row>
    <row r="57" spans="1:8" ht="15.75">
      <c r="A57" s="413" t="s">
        <v>181</v>
      </c>
      <c r="B57" s="416" t="s">
        <v>467</v>
      </c>
      <c r="C57" s="416" t="s">
        <v>343</v>
      </c>
      <c r="D57" s="423">
        <v>178549</v>
      </c>
      <c r="E57" s="423">
        <v>178549</v>
      </c>
      <c r="H57" s="414"/>
    </row>
    <row r="58" ht="15.75">
      <c r="H58" s="414"/>
    </row>
    <row r="59" spans="1:7" ht="15.75">
      <c r="A59" s="417" t="s">
        <v>257</v>
      </c>
      <c r="B59" s="418" t="s">
        <v>258</v>
      </c>
      <c r="C59" s="418" t="s">
        <v>323</v>
      </c>
      <c r="D59" s="424">
        <v>81341.2</v>
      </c>
      <c r="E59" s="424">
        <v>81341.2</v>
      </c>
      <c r="F59" s="424">
        <f>D59+D60+D61+D62+D63</f>
        <v>110838.06</v>
      </c>
      <c r="G59" s="424">
        <f>E59+E60+E61+E62+E63</f>
        <v>110838.06</v>
      </c>
    </row>
    <row r="60" spans="1:7" ht="15.75">
      <c r="A60" s="417" t="s">
        <v>257</v>
      </c>
      <c r="B60" s="418" t="s">
        <v>258</v>
      </c>
      <c r="C60" s="418" t="s">
        <v>324</v>
      </c>
      <c r="D60" s="424">
        <v>6527</v>
      </c>
      <c r="E60" s="424">
        <v>6527</v>
      </c>
      <c r="F60" s="423">
        <f>SUM(D64:D75)</f>
        <v>227461.93999999997</v>
      </c>
      <c r="G60" s="423">
        <f>SUM(E64:E75)</f>
        <v>227420.30999999997</v>
      </c>
    </row>
    <row r="61" spans="1:5" ht="15.75">
      <c r="A61" s="417" t="s">
        <v>257</v>
      </c>
      <c r="B61" s="418" t="s">
        <v>258</v>
      </c>
      <c r="C61" s="418" t="s">
        <v>325</v>
      </c>
      <c r="D61" s="424">
        <v>13195.72</v>
      </c>
      <c r="E61" s="424">
        <v>13195.72</v>
      </c>
    </row>
    <row r="62" spans="1:5" ht="15.75">
      <c r="A62" s="417" t="s">
        <v>257</v>
      </c>
      <c r="B62" s="418" t="s">
        <v>258</v>
      </c>
      <c r="C62" s="418" t="s">
        <v>326</v>
      </c>
      <c r="D62" s="424">
        <v>2024.14</v>
      </c>
      <c r="E62" s="424">
        <v>2024.14</v>
      </c>
    </row>
    <row r="63" spans="1:5" ht="15.75">
      <c r="A63" s="417" t="s">
        <v>257</v>
      </c>
      <c r="B63" s="418" t="s">
        <v>258</v>
      </c>
      <c r="C63" s="418" t="s">
        <v>327</v>
      </c>
      <c r="D63" s="424">
        <v>7750</v>
      </c>
      <c r="E63" s="424">
        <v>7750</v>
      </c>
    </row>
    <row r="64" spans="1:5" ht="15.75">
      <c r="A64" s="413" t="s">
        <v>257</v>
      </c>
      <c r="B64" s="416" t="s">
        <v>258</v>
      </c>
      <c r="C64" s="416" t="s">
        <v>328</v>
      </c>
      <c r="D64" s="423">
        <v>188648.24</v>
      </c>
      <c r="E64" s="423">
        <v>188648.24</v>
      </c>
    </row>
    <row r="65" spans="1:5" ht="15.75">
      <c r="A65" s="413" t="s">
        <v>257</v>
      </c>
      <c r="B65" s="416" t="s">
        <v>258</v>
      </c>
      <c r="C65" s="416" t="s">
        <v>337</v>
      </c>
      <c r="D65" s="423">
        <v>2442.93</v>
      </c>
      <c r="E65" s="423">
        <v>2442.93</v>
      </c>
    </row>
    <row r="66" spans="1:5" ht="15.75">
      <c r="A66" s="413" t="s">
        <v>257</v>
      </c>
      <c r="B66" s="416" t="s">
        <v>258</v>
      </c>
      <c r="C66" s="416" t="s">
        <v>329</v>
      </c>
      <c r="D66" s="423">
        <v>298</v>
      </c>
      <c r="E66" s="423">
        <v>298</v>
      </c>
    </row>
    <row r="67" spans="1:5" ht="15.75">
      <c r="A67" s="413" t="s">
        <v>257</v>
      </c>
      <c r="B67" s="416" t="s">
        <v>258</v>
      </c>
      <c r="C67" s="416" t="s">
        <v>319</v>
      </c>
      <c r="D67" s="423">
        <v>26078.63</v>
      </c>
      <c r="E67" s="423">
        <v>26078.63</v>
      </c>
    </row>
    <row r="68" spans="1:5" ht="15.75">
      <c r="A68" s="413" t="s">
        <v>257</v>
      </c>
      <c r="B68" s="416" t="s">
        <v>258</v>
      </c>
      <c r="C68" s="416" t="s">
        <v>345</v>
      </c>
      <c r="D68" s="423">
        <v>1788.63</v>
      </c>
      <c r="E68" s="423">
        <v>1788.63</v>
      </c>
    </row>
    <row r="69" spans="1:5" ht="15.75">
      <c r="A69" s="413" t="s">
        <v>257</v>
      </c>
      <c r="B69" s="416" t="s">
        <v>258</v>
      </c>
      <c r="C69" s="416" t="s">
        <v>346</v>
      </c>
      <c r="D69" s="423">
        <v>1838.49</v>
      </c>
      <c r="E69" s="423">
        <v>1838.49</v>
      </c>
    </row>
    <row r="70" spans="1:5" ht="15.75">
      <c r="A70" s="413" t="s">
        <v>257</v>
      </c>
      <c r="B70" s="416" t="s">
        <v>258</v>
      </c>
      <c r="C70" s="416" t="s">
        <v>330</v>
      </c>
      <c r="D70" s="423">
        <v>3171.68</v>
      </c>
      <c r="E70" s="423">
        <v>3171.68</v>
      </c>
    </row>
    <row r="71" spans="1:5" ht="15.75">
      <c r="A71" s="413" t="s">
        <v>257</v>
      </c>
      <c r="B71" s="416" t="s">
        <v>258</v>
      </c>
      <c r="C71" s="416" t="s">
        <v>357</v>
      </c>
      <c r="D71" s="423">
        <v>163.71</v>
      </c>
      <c r="E71" s="423">
        <v>163.71</v>
      </c>
    </row>
    <row r="72" spans="1:5" ht="15.75">
      <c r="A72" s="413" t="s">
        <v>257</v>
      </c>
      <c r="B72" s="416" t="s">
        <v>258</v>
      </c>
      <c r="C72" s="416" t="s">
        <v>320</v>
      </c>
      <c r="D72" s="423">
        <v>340</v>
      </c>
      <c r="E72" s="423">
        <v>340</v>
      </c>
    </row>
    <row r="73" spans="1:5" ht="15.75">
      <c r="A73" s="413" t="s">
        <v>257</v>
      </c>
      <c r="B73" s="416" t="s">
        <v>258</v>
      </c>
      <c r="C73" s="416" t="s">
        <v>347</v>
      </c>
      <c r="D73" s="423">
        <v>2500</v>
      </c>
      <c r="E73" s="423">
        <v>2500</v>
      </c>
    </row>
    <row r="74" spans="1:5" ht="15.75">
      <c r="A74" s="413" t="s">
        <v>257</v>
      </c>
      <c r="B74" s="416" t="s">
        <v>258</v>
      </c>
      <c r="C74" s="416" t="s">
        <v>389</v>
      </c>
      <c r="D74" s="423">
        <v>150</v>
      </c>
      <c r="E74" s="423">
        <v>150</v>
      </c>
    </row>
    <row r="75" spans="1:5" ht="15.75">
      <c r="A75" s="413" t="s">
        <v>257</v>
      </c>
      <c r="B75" s="416" t="s">
        <v>258</v>
      </c>
      <c r="C75" s="416" t="s">
        <v>348</v>
      </c>
      <c r="D75" s="423">
        <v>41.63</v>
      </c>
      <c r="E75" s="423">
        <v>0</v>
      </c>
    </row>
    <row r="77" spans="1:7" ht="15.75">
      <c r="A77" s="417" t="s">
        <v>257</v>
      </c>
      <c r="B77" s="418" t="s">
        <v>468</v>
      </c>
      <c r="C77" s="418" t="s">
        <v>476</v>
      </c>
      <c r="D77" s="424">
        <v>5717</v>
      </c>
      <c r="E77" s="424">
        <v>1975.6</v>
      </c>
      <c r="F77" s="424">
        <f>SUM(D77:D82)</f>
        <v>120957</v>
      </c>
      <c r="G77" s="424">
        <f>SUM(E77:E82)</f>
        <v>115250</v>
      </c>
    </row>
    <row r="78" spans="1:7" ht="15.75">
      <c r="A78" s="417" t="s">
        <v>257</v>
      </c>
      <c r="B78" s="418" t="s">
        <v>468</v>
      </c>
      <c r="C78" s="418" t="s">
        <v>477</v>
      </c>
      <c r="D78" s="424">
        <v>1009</v>
      </c>
      <c r="E78" s="424">
        <v>348.63</v>
      </c>
      <c r="F78" s="423">
        <f>SUM(D83:D86)</f>
        <v>317301.91000000003</v>
      </c>
      <c r="G78" s="423">
        <f>SUM(E83:E86)</f>
        <v>290803.04</v>
      </c>
    </row>
    <row r="79" spans="1:7" ht="15.75">
      <c r="A79" s="417" t="s">
        <v>257</v>
      </c>
      <c r="B79" s="418" t="s">
        <v>468</v>
      </c>
      <c r="C79" s="418" t="s">
        <v>478</v>
      </c>
      <c r="D79" s="424">
        <v>882</v>
      </c>
      <c r="E79" s="424">
        <v>318.68</v>
      </c>
      <c r="F79" s="426">
        <f>D87+D88</f>
        <v>117646</v>
      </c>
      <c r="G79" s="426">
        <f>E87+E88</f>
        <v>87980</v>
      </c>
    </row>
    <row r="80" spans="1:5" ht="15.75">
      <c r="A80" s="417" t="s">
        <v>257</v>
      </c>
      <c r="B80" s="418" t="s">
        <v>468</v>
      </c>
      <c r="C80" s="418" t="s">
        <v>479</v>
      </c>
      <c r="D80" s="424">
        <v>156</v>
      </c>
      <c r="E80" s="424">
        <v>56.23</v>
      </c>
    </row>
    <row r="81" spans="1:5" ht="15.75">
      <c r="A81" s="417" t="s">
        <v>257</v>
      </c>
      <c r="B81" s="418" t="s">
        <v>468</v>
      </c>
      <c r="C81" s="418" t="s">
        <v>480</v>
      </c>
      <c r="D81" s="424">
        <v>96239</v>
      </c>
      <c r="E81" s="424">
        <v>95668.22</v>
      </c>
    </row>
    <row r="82" spans="1:5" ht="15.75">
      <c r="A82" s="417" t="s">
        <v>257</v>
      </c>
      <c r="B82" s="418" t="s">
        <v>468</v>
      </c>
      <c r="C82" s="418" t="s">
        <v>481</v>
      </c>
      <c r="D82" s="424">
        <v>16954</v>
      </c>
      <c r="E82" s="424">
        <v>16882.64</v>
      </c>
    </row>
    <row r="83" spans="1:5" ht="15.75">
      <c r="A83" s="413" t="s">
        <v>257</v>
      </c>
      <c r="B83" s="416" t="s">
        <v>468</v>
      </c>
      <c r="C83" s="416" t="s">
        <v>482</v>
      </c>
      <c r="D83" s="423">
        <v>97107.57</v>
      </c>
      <c r="E83" s="423">
        <v>74969.78</v>
      </c>
    </row>
    <row r="84" spans="1:5" ht="15.75">
      <c r="A84" s="413" t="s">
        <v>257</v>
      </c>
      <c r="B84" s="416" t="s">
        <v>468</v>
      </c>
      <c r="C84" s="416" t="s">
        <v>483</v>
      </c>
      <c r="D84" s="423">
        <v>16872</v>
      </c>
      <c r="E84" s="423">
        <v>13229.96</v>
      </c>
    </row>
    <row r="85" spans="1:5" ht="15.75">
      <c r="A85" s="413" t="s">
        <v>257</v>
      </c>
      <c r="B85" s="416" t="s">
        <v>468</v>
      </c>
      <c r="C85" s="416" t="s">
        <v>484</v>
      </c>
      <c r="D85" s="423">
        <v>172574.34</v>
      </c>
      <c r="E85" s="423">
        <v>172212.81</v>
      </c>
    </row>
    <row r="86" spans="1:5" ht="15.75">
      <c r="A86" s="413" t="s">
        <v>257</v>
      </c>
      <c r="B86" s="416" t="s">
        <v>468</v>
      </c>
      <c r="C86" s="416" t="s">
        <v>485</v>
      </c>
      <c r="D86" s="423">
        <v>30748</v>
      </c>
      <c r="E86" s="423">
        <v>30390.49</v>
      </c>
    </row>
    <row r="87" spans="1:5" ht="15.75">
      <c r="A87" s="421" t="s">
        <v>257</v>
      </c>
      <c r="B87" s="422" t="s">
        <v>468</v>
      </c>
      <c r="C87" s="422" t="s">
        <v>486</v>
      </c>
      <c r="D87" s="426">
        <v>100000</v>
      </c>
      <c r="E87" s="426">
        <v>74783</v>
      </c>
    </row>
    <row r="88" spans="1:5" ht="15.75">
      <c r="A88" s="421" t="s">
        <v>257</v>
      </c>
      <c r="B88" s="422" t="s">
        <v>468</v>
      </c>
      <c r="C88" s="422" t="s">
        <v>487</v>
      </c>
      <c r="D88" s="426">
        <v>17646</v>
      </c>
      <c r="E88" s="426">
        <v>13197</v>
      </c>
    </row>
    <row r="89" spans="1:5" ht="15.75">
      <c r="A89" s="419"/>
      <c r="B89" s="420"/>
      <c r="C89" s="420"/>
      <c r="D89" s="425"/>
      <c r="E89" s="425"/>
    </row>
    <row r="90" spans="1:5" ht="15.75">
      <c r="A90" s="428" t="s">
        <v>249</v>
      </c>
      <c r="B90" s="429" t="s">
        <v>349</v>
      </c>
      <c r="C90" s="429" t="s">
        <v>350</v>
      </c>
      <c r="D90" s="430">
        <v>69880</v>
      </c>
      <c r="E90" s="430">
        <v>69880</v>
      </c>
    </row>
    <row r="91" spans="1:5" ht="15.75">
      <c r="A91" s="419"/>
      <c r="B91" s="420"/>
      <c r="C91" s="420"/>
      <c r="D91" s="425"/>
      <c r="E91" s="425"/>
    </row>
    <row r="92" spans="1:7" ht="15.75">
      <c r="A92" s="413" t="s">
        <v>249</v>
      </c>
      <c r="B92" s="416" t="s">
        <v>250</v>
      </c>
      <c r="C92" s="416" t="s">
        <v>337</v>
      </c>
      <c r="D92" s="423">
        <v>29000</v>
      </c>
      <c r="E92" s="423">
        <v>28824.52</v>
      </c>
      <c r="F92" s="423">
        <f>D92+D93+D94+D95+D96+D97+D98+D99</f>
        <v>283869.19</v>
      </c>
      <c r="G92" s="423">
        <f>E92+E93+E94+E95+E96+E97+E98+E99</f>
        <v>258254.36</v>
      </c>
    </row>
    <row r="93" spans="1:5" ht="15.75">
      <c r="A93" s="413" t="s">
        <v>249</v>
      </c>
      <c r="B93" s="416" t="s">
        <v>250</v>
      </c>
      <c r="C93" s="416" t="s">
        <v>343</v>
      </c>
      <c r="D93" s="423">
        <v>0</v>
      </c>
      <c r="E93" s="423">
        <v>10948.38</v>
      </c>
    </row>
    <row r="94" spans="1:8" ht="15.75">
      <c r="A94" s="413" t="s">
        <v>249</v>
      </c>
      <c r="B94" s="416" t="s">
        <v>250</v>
      </c>
      <c r="C94" s="416" t="s">
        <v>343</v>
      </c>
      <c r="D94" s="423">
        <v>35100</v>
      </c>
      <c r="E94" s="423">
        <v>23034.5</v>
      </c>
      <c r="H94" s="414"/>
    </row>
    <row r="95" spans="1:5" ht="15.75">
      <c r="A95" s="413" t="s">
        <v>249</v>
      </c>
      <c r="B95" s="416" t="s">
        <v>250</v>
      </c>
      <c r="C95" s="416" t="s">
        <v>319</v>
      </c>
      <c r="D95" s="423">
        <v>84000</v>
      </c>
      <c r="E95" s="423">
        <v>83365.03</v>
      </c>
    </row>
    <row r="96" spans="1:5" ht="15.75">
      <c r="A96" s="413" t="s">
        <v>249</v>
      </c>
      <c r="B96" s="416" t="s">
        <v>250</v>
      </c>
      <c r="C96" s="416" t="s">
        <v>320</v>
      </c>
      <c r="D96" s="423">
        <v>0</v>
      </c>
      <c r="E96" s="423">
        <v>27592.55</v>
      </c>
    </row>
    <row r="97" spans="1:8" ht="15.75">
      <c r="A97" s="413" t="s">
        <v>249</v>
      </c>
      <c r="B97" s="416" t="s">
        <v>250</v>
      </c>
      <c r="C97" s="416" t="s">
        <v>320</v>
      </c>
      <c r="D97" s="423">
        <v>62769.19</v>
      </c>
      <c r="E97" s="423">
        <v>14489.38</v>
      </c>
      <c r="H97" s="414"/>
    </row>
    <row r="98" spans="1:5" ht="15.75">
      <c r="A98" s="413" t="s">
        <v>249</v>
      </c>
      <c r="B98" s="416" t="s">
        <v>250</v>
      </c>
      <c r="C98" s="416" t="s">
        <v>351</v>
      </c>
      <c r="D98" s="423">
        <v>3000</v>
      </c>
      <c r="E98" s="423">
        <v>0</v>
      </c>
    </row>
    <row r="99" spans="1:5" ht="15.75">
      <c r="A99" s="413" t="s">
        <v>249</v>
      </c>
      <c r="B99" s="416" t="s">
        <v>250</v>
      </c>
      <c r="C99" s="416" t="s">
        <v>558</v>
      </c>
      <c r="D99" s="423">
        <v>70000</v>
      </c>
      <c r="E99" s="423">
        <v>70000</v>
      </c>
    </row>
    <row r="100" spans="1:5" ht="15.75">
      <c r="A100" s="421" t="s">
        <v>249</v>
      </c>
      <c r="B100" s="422" t="s">
        <v>250</v>
      </c>
      <c r="C100" s="422" t="s">
        <v>333</v>
      </c>
      <c r="D100" s="426">
        <v>605223.21</v>
      </c>
      <c r="E100" s="426">
        <v>549247.03</v>
      </c>
    </row>
    <row r="101" spans="1:5" ht="15.75">
      <c r="A101" s="419"/>
      <c r="B101" s="420"/>
      <c r="C101" s="420"/>
      <c r="D101" s="425"/>
      <c r="E101" s="425"/>
    </row>
    <row r="102" spans="1:7" ht="15.75">
      <c r="A102" s="413" t="s">
        <v>259</v>
      </c>
      <c r="B102" s="416" t="s">
        <v>352</v>
      </c>
      <c r="C102" s="416" t="s">
        <v>353</v>
      </c>
      <c r="D102" s="423">
        <v>4000</v>
      </c>
      <c r="E102" s="423">
        <v>1722</v>
      </c>
      <c r="F102" s="423">
        <f>SUM(D102:D105)</f>
        <v>55000</v>
      </c>
      <c r="G102" s="423">
        <f>SUM(E102:E105)</f>
        <v>48867.4</v>
      </c>
    </row>
    <row r="103" spans="1:5" ht="15.75">
      <c r="A103" s="413" t="s">
        <v>259</v>
      </c>
      <c r="B103" s="416" t="s">
        <v>352</v>
      </c>
      <c r="C103" s="416" t="s">
        <v>328</v>
      </c>
      <c r="D103" s="423">
        <v>1000</v>
      </c>
      <c r="E103" s="423">
        <v>0</v>
      </c>
    </row>
    <row r="104" spans="1:5" ht="15.75">
      <c r="A104" s="413" t="s">
        <v>259</v>
      </c>
      <c r="B104" s="416" t="s">
        <v>352</v>
      </c>
      <c r="C104" s="416" t="s">
        <v>319</v>
      </c>
      <c r="D104" s="423">
        <v>49000</v>
      </c>
      <c r="E104" s="423">
        <v>47121.4</v>
      </c>
    </row>
    <row r="105" spans="1:5" ht="15.75">
      <c r="A105" s="413" t="s">
        <v>259</v>
      </c>
      <c r="B105" s="416" t="s">
        <v>352</v>
      </c>
      <c r="C105" s="416" t="s">
        <v>320</v>
      </c>
      <c r="D105" s="423">
        <v>1000</v>
      </c>
      <c r="E105" s="423">
        <v>24</v>
      </c>
    </row>
    <row r="107" spans="1:7" ht="15.75">
      <c r="A107" s="413" t="s">
        <v>259</v>
      </c>
      <c r="B107" s="416" t="s">
        <v>354</v>
      </c>
      <c r="C107" s="416" t="s">
        <v>328</v>
      </c>
      <c r="D107" s="423">
        <v>3300</v>
      </c>
      <c r="E107" s="423">
        <v>3241.9</v>
      </c>
      <c r="F107" s="423">
        <f>SUM(D107:D109)</f>
        <v>54000</v>
      </c>
      <c r="G107" s="423">
        <f>SUM(E107:E109)</f>
        <v>50243.42</v>
      </c>
    </row>
    <row r="108" spans="1:5" ht="15.75">
      <c r="A108" s="413" t="s">
        <v>259</v>
      </c>
      <c r="B108" s="416" t="s">
        <v>354</v>
      </c>
      <c r="C108" s="416" t="s">
        <v>337</v>
      </c>
      <c r="D108" s="423">
        <v>700</v>
      </c>
      <c r="E108" s="423">
        <v>0</v>
      </c>
    </row>
    <row r="109" spans="1:5" ht="15.75">
      <c r="A109" s="413" t="s">
        <v>259</v>
      </c>
      <c r="B109" s="416" t="s">
        <v>354</v>
      </c>
      <c r="C109" s="416" t="s">
        <v>319</v>
      </c>
      <c r="D109" s="423">
        <v>50000</v>
      </c>
      <c r="E109" s="423">
        <v>47001.52</v>
      </c>
    </row>
    <row r="111" spans="1:7" ht="15.75">
      <c r="A111" s="413" t="s">
        <v>259</v>
      </c>
      <c r="B111" s="416" t="s">
        <v>260</v>
      </c>
      <c r="C111" s="416" t="s">
        <v>328</v>
      </c>
      <c r="D111" s="423">
        <v>900</v>
      </c>
      <c r="E111" s="423">
        <v>56</v>
      </c>
      <c r="F111" s="423">
        <f>SUM(D111:D113)</f>
        <v>41000</v>
      </c>
      <c r="G111" s="423">
        <f>SUM(E111:E113)</f>
        <v>34054.03</v>
      </c>
    </row>
    <row r="112" spans="1:5" ht="15.75">
      <c r="A112" s="413" t="s">
        <v>259</v>
      </c>
      <c r="B112" s="416" t="s">
        <v>260</v>
      </c>
      <c r="C112" s="416" t="s">
        <v>337</v>
      </c>
      <c r="D112" s="423">
        <v>3600</v>
      </c>
      <c r="E112" s="423">
        <v>3594.96</v>
      </c>
    </row>
    <row r="113" spans="1:5" ht="15.75">
      <c r="A113" s="413" t="s">
        <v>259</v>
      </c>
      <c r="B113" s="416" t="s">
        <v>260</v>
      </c>
      <c r="C113" s="416" t="s">
        <v>319</v>
      </c>
      <c r="D113" s="423">
        <v>36500</v>
      </c>
      <c r="E113" s="423">
        <v>30403.07</v>
      </c>
    </row>
    <row r="115" spans="1:5" ht="15.75">
      <c r="A115" s="413" t="s">
        <v>251</v>
      </c>
      <c r="B115" s="416" t="s">
        <v>275</v>
      </c>
      <c r="C115" s="416" t="s">
        <v>322</v>
      </c>
      <c r="D115" s="423">
        <v>2000</v>
      </c>
      <c r="E115" s="423">
        <v>1963.91</v>
      </c>
    </row>
    <row r="116" spans="1:7" ht="15.75">
      <c r="A116" s="417" t="s">
        <v>251</v>
      </c>
      <c r="B116" s="418" t="s">
        <v>275</v>
      </c>
      <c r="C116" s="418" t="s">
        <v>323</v>
      </c>
      <c r="D116" s="424">
        <v>163200</v>
      </c>
      <c r="E116" s="424">
        <v>161995.52</v>
      </c>
      <c r="F116" s="424">
        <f>SUM(D116:D119)</f>
        <v>205200</v>
      </c>
      <c r="G116" s="424">
        <f>SUM(E116:E119)</f>
        <v>203469.09999999998</v>
      </c>
    </row>
    <row r="117" spans="1:7" ht="15.75">
      <c r="A117" s="417" t="s">
        <v>251</v>
      </c>
      <c r="B117" s="418" t="s">
        <v>275</v>
      </c>
      <c r="C117" s="418" t="s">
        <v>324</v>
      </c>
      <c r="D117" s="424">
        <v>11800</v>
      </c>
      <c r="E117" s="424">
        <v>11747.56</v>
      </c>
      <c r="F117" s="423">
        <f>D115+D120+D121+D122+D123+D124+D125+D126+D127+D128+D129</f>
        <v>51750</v>
      </c>
      <c r="G117" s="423">
        <f>E115+E120+E121+E122+E123+E124+E125+E126+E127+E128+E129</f>
        <v>44743.82</v>
      </c>
    </row>
    <row r="118" spans="1:5" ht="15.75">
      <c r="A118" s="417" t="s">
        <v>251</v>
      </c>
      <c r="B118" s="418" t="s">
        <v>275</v>
      </c>
      <c r="C118" s="418" t="s">
        <v>325</v>
      </c>
      <c r="D118" s="424">
        <v>26200</v>
      </c>
      <c r="E118" s="424">
        <v>25844.02</v>
      </c>
    </row>
    <row r="119" spans="1:5" ht="15.75">
      <c r="A119" s="417" t="s">
        <v>251</v>
      </c>
      <c r="B119" s="418" t="s">
        <v>275</v>
      </c>
      <c r="C119" s="418" t="s">
        <v>326</v>
      </c>
      <c r="D119" s="424">
        <v>4000</v>
      </c>
      <c r="E119" s="424">
        <v>3882</v>
      </c>
    </row>
    <row r="120" spans="1:5" ht="15.75">
      <c r="A120" s="413" t="s">
        <v>251</v>
      </c>
      <c r="B120" s="416" t="s">
        <v>275</v>
      </c>
      <c r="C120" s="416" t="s">
        <v>328</v>
      </c>
      <c r="D120" s="423">
        <v>19300</v>
      </c>
      <c r="E120" s="423">
        <v>18830.48</v>
      </c>
    </row>
    <row r="121" spans="1:5" ht="15.75">
      <c r="A121" s="413" t="s">
        <v>251</v>
      </c>
      <c r="B121" s="416" t="s">
        <v>275</v>
      </c>
      <c r="C121" s="416" t="s">
        <v>329</v>
      </c>
      <c r="D121" s="423">
        <v>400</v>
      </c>
      <c r="E121" s="423">
        <v>188</v>
      </c>
    </row>
    <row r="122" spans="1:5" ht="15.75">
      <c r="A122" s="413" t="s">
        <v>251</v>
      </c>
      <c r="B122" s="416" t="s">
        <v>275</v>
      </c>
      <c r="C122" s="416" t="s">
        <v>319</v>
      </c>
      <c r="D122" s="423">
        <v>10300</v>
      </c>
      <c r="E122" s="423">
        <v>9182.53</v>
      </c>
    </row>
    <row r="123" spans="1:5" ht="15.75">
      <c r="A123" s="413" t="s">
        <v>251</v>
      </c>
      <c r="B123" s="416" t="s">
        <v>275</v>
      </c>
      <c r="C123" s="416" t="s">
        <v>346</v>
      </c>
      <c r="D123" s="423">
        <v>2200</v>
      </c>
      <c r="E123" s="423">
        <v>307.44</v>
      </c>
    </row>
    <row r="124" spans="1:5" ht="15.75">
      <c r="A124" s="413" t="s">
        <v>251</v>
      </c>
      <c r="B124" s="416" t="s">
        <v>275</v>
      </c>
      <c r="C124" s="416" t="s">
        <v>330</v>
      </c>
      <c r="D124" s="423">
        <v>1000</v>
      </c>
      <c r="E124" s="423">
        <v>816.5</v>
      </c>
    </row>
    <row r="125" spans="1:5" ht="15.75">
      <c r="A125" s="413" t="s">
        <v>251</v>
      </c>
      <c r="B125" s="416" t="s">
        <v>275</v>
      </c>
      <c r="C125" s="416" t="s">
        <v>320</v>
      </c>
      <c r="D125" s="423">
        <v>400</v>
      </c>
      <c r="E125" s="423">
        <v>66</v>
      </c>
    </row>
    <row r="126" spans="1:5" ht="15.75">
      <c r="A126" s="413" t="s">
        <v>251</v>
      </c>
      <c r="B126" s="416" t="s">
        <v>275</v>
      </c>
      <c r="C126" s="416" t="s">
        <v>347</v>
      </c>
      <c r="D126" s="423">
        <v>4850</v>
      </c>
      <c r="E126" s="423">
        <v>4833.52</v>
      </c>
    </row>
    <row r="127" spans="1:5" ht="15.75">
      <c r="A127" s="413" t="s">
        <v>251</v>
      </c>
      <c r="B127" s="416" t="s">
        <v>275</v>
      </c>
      <c r="C127" s="416" t="s">
        <v>389</v>
      </c>
      <c r="D127" s="423">
        <v>1300</v>
      </c>
      <c r="E127" s="423">
        <v>1270</v>
      </c>
    </row>
    <row r="128" spans="1:5" ht="15.75">
      <c r="A128" s="413" t="s">
        <v>251</v>
      </c>
      <c r="B128" s="416" t="s">
        <v>275</v>
      </c>
      <c r="C128" s="416" t="s">
        <v>348</v>
      </c>
      <c r="D128" s="423">
        <v>1000</v>
      </c>
      <c r="E128" s="423">
        <v>0</v>
      </c>
    </row>
    <row r="129" spans="1:5" ht="15.75">
      <c r="A129" s="413" t="s">
        <v>251</v>
      </c>
      <c r="B129" s="416" t="s">
        <v>275</v>
      </c>
      <c r="C129" s="416" t="s">
        <v>321</v>
      </c>
      <c r="D129" s="423">
        <v>9000</v>
      </c>
      <c r="E129" s="423">
        <v>7285.44</v>
      </c>
    </row>
    <row r="131" spans="1:7" ht="15.75">
      <c r="A131" s="413" t="s">
        <v>251</v>
      </c>
      <c r="B131" s="416" t="s">
        <v>355</v>
      </c>
      <c r="C131" s="416" t="s">
        <v>353</v>
      </c>
      <c r="D131" s="423">
        <v>171700</v>
      </c>
      <c r="E131" s="423">
        <v>165440</v>
      </c>
      <c r="F131" s="423">
        <f>SUM(D131:D135)</f>
        <v>176500</v>
      </c>
      <c r="G131" s="423">
        <f>SUM(E131:E135)</f>
        <v>169072.1</v>
      </c>
    </row>
    <row r="132" spans="1:5" ht="15.75">
      <c r="A132" s="413" t="s">
        <v>251</v>
      </c>
      <c r="B132" s="416" t="s">
        <v>355</v>
      </c>
      <c r="C132" s="416" t="s">
        <v>328</v>
      </c>
      <c r="D132" s="423">
        <v>2000</v>
      </c>
      <c r="E132" s="423">
        <v>1749.81</v>
      </c>
    </row>
    <row r="133" spans="1:5" ht="15.75">
      <c r="A133" s="413" t="s">
        <v>251</v>
      </c>
      <c r="B133" s="416" t="s">
        <v>355</v>
      </c>
      <c r="C133" s="416" t="s">
        <v>319</v>
      </c>
      <c r="D133" s="423">
        <v>2000</v>
      </c>
      <c r="E133" s="423">
        <v>1841.95</v>
      </c>
    </row>
    <row r="134" spans="1:5" ht="15.75">
      <c r="A134" s="413" t="s">
        <v>251</v>
      </c>
      <c r="B134" s="416" t="s">
        <v>355</v>
      </c>
      <c r="C134" s="416" t="s">
        <v>346</v>
      </c>
      <c r="D134" s="423">
        <v>600</v>
      </c>
      <c r="E134" s="423">
        <v>40.34</v>
      </c>
    </row>
    <row r="135" spans="1:5" ht="15.75">
      <c r="A135" s="413" t="s">
        <v>251</v>
      </c>
      <c r="B135" s="416" t="s">
        <v>355</v>
      </c>
      <c r="C135" s="416" t="s">
        <v>330</v>
      </c>
      <c r="D135" s="423">
        <v>200</v>
      </c>
      <c r="E135" s="423">
        <v>0</v>
      </c>
    </row>
    <row r="137" spans="1:5" ht="15.75">
      <c r="A137" s="413" t="s">
        <v>251</v>
      </c>
      <c r="B137" s="416" t="s">
        <v>252</v>
      </c>
      <c r="C137" s="416" t="s">
        <v>322</v>
      </c>
      <c r="D137" s="423">
        <v>19500</v>
      </c>
      <c r="E137" s="423">
        <v>18606.79</v>
      </c>
    </row>
    <row r="138" spans="1:7" ht="15.75">
      <c r="A138" s="417" t="s">
        <v>251</v>
      </c>
      <c r="B138" s="418" t="s">
        <v>252</v>
      </c>
      <c r="C138" s="418" t="s">
        <v>323</v>
      </c>
      <c r="D138" s="424">
        <v>1669800</v>
      </c>
      <c r="E138" s="424">
        <v>1667619.62</v>
      </c>
      <c r="F138" s="424">
        <f>SUM(D138:D141)</f>
        <v>2087300</v>
      </c>
      <c r="G138" s="424">
        <f>SUM(E138:E141)</f>
        <v>2081778.5000000002</v>
      </c>
    </row>
    <row r="139" spans="1:7" ht="15.75">
      <c r="A139" s="417" t="s">
        <v>251</v>
      </c>
      <c r="B139" s="418" t="s">
        <v>252</v>
      </c>
      <c r="C139" s="418" t="s">
        <v>324</v>
      </c>
      <c r="D139" s="424">
        <v>122200</v>
      </c>
      <c r="E139" s="424">
        <v>122154.23</v>
      </c>
      <c r="F139" s="423">
        <f>SUM(D142:D159)+D137</f>
        <v>983595.74</v>
      </c>
      <c r="G139" s="423">
        <f>SUM(E142:E159)+E137</f>
        <v>963104.6200000001</v>
      </c>
    </row>
    <row r="140" spans="1:7" ht="15.75">
      <c r="A140" s="417" t="s">
        <v>251</v>
      </c>
      <c r="B140" s="418" t="s">
        <v>252</v>
      </c>
      <c r="C140" s="418" t="s">
        <v>325</v>
      </c>
      <c r="D140" s="424">
        <v>254000</v>
      </c>
      <c r="E140" s="424">
        <f>250993.44+1.88</f>
        <v>250995.32</v>
      </c>
      <c r="F140" s="426">
        <f>D160+D161</f>
        <v>193295</v>
      </c>
      <c r="G140" s="426">
        <f>E160+E161</f>
        <v>108292.59</v>
      </c>
    </row>
    <row r="141" spans="1:5" ht="15.75">
      <c r="A141" s="417" t="s">
        <v>251</v>
      </c>
      <c r="B141" s="418" t="s">
        <v>252</v>
      </c>
      <c r="C141" s="418" t="s">
        <v>326</v>
      </c>
      <c r="D141" s="424">
        <v>41300</v>
      </c>
      <c r="E141" s="424">
        <v>41009.33</v>
      </c>
    </row>
    <row r="142" spans="1:5" ht="15.75">
      <c r="A142" s="419" t="s">
        <v>251</v>
      </c>
      <c r="B142" s="420" t="s">
        <v>252</v>
      </c>
      <c r="C142" s="420" t="s">
        <v>356</v>
      </c>
      <c r="D142" s="425">
        <v>71300</v>
      </c>
      <c r="E142" s="425">
        <v>70353</v>
      </c>
    </row>
    <row r="143" spans="1:5" ht="15.75">
      <c r="A143" s="413" t="s">
        <v>251</v>
      </c>
      <c r="B143" s="416" t="s">
        <v>252</v>
      </c>
      <c r="C143" s="416" t="s">
        <v>328</v>
      </c>
      <c r="D143" s="423">
        <v>145806</v>
      </c>
      <c r="E143" s="423">
        <v>144715.49</v>
      </c>
    </row>
    <row r="144" spans="1:5" ht="15.75">
      <c r="A144" s="413" t="s">
        <v>251</v>
      </c>
      <c r="B144" s="416" t="s">
        <v>252</v>
      </c>
      <c r="C144" s="416" t="s">
        <v>337</v>
      </c>
      <c r="D144" s="423">
        <v>106310</v>
      </c>
      <c r="E144" s="423">
        <v>103446.01</v>
      </c>
    </row>
    <row r="145" spans="1:5" ht="15.75">
      <c r="A145" s="413" t="s">
        <v>251</v>
      </c>
      <c r="B145" s="416" t="s">
        <v>252</v>
      </c>
      <c r="C145" s="416" t="s">
        <v>329</v>
      </c>
      <c r="D145" s="423">
        <v>3000</v>
      </c>
      <c r="E145" s="423">
        <v>1386</v>
      </c>
    </row>
    <row r="146" spans="1:5" ht="15.75">
      <c r="A146" s="413" t="s">
        <v>251</v>
      </c>
      <c r="B146" s="416" t="s">
        <v>252</v>
      </c>
      <c r="C146" s="416" t="s">
        <v>319</v>
      </c>
      <c r="D146" s="423">
        <v>132504.74</v>
      </c>
      <c r="E146" s="423">
        <v>132343.78</v>
      </c>
    </row>
    <row r="147" spans="1:5" ht="15.75">
      <c r="A147" s="413" t="s">
        <v>251</v>
      </c>
      <c r="B147" s="416" t="s">
        <v>252</v>
      </c>
      <c r="C147" s="416" t="s">
        <v>344</v>
      </c>
      <c r="D147" s="423">
        <v>5000</v>
      </c>
      <c r="E147" s="423">
        <v>4769.54</v>
      </c>
    </row>
    <row r="148" spans="1:5" ht="15.75">
      <c r="A148" s="413" t="s">
        <v>251</v>
      </c>
      <c r="B148" s="416" t="s">
        <v>252</v>
      </c>
      <c r="C148" s="416" t="s">
        <v>345</v>
      </c>
      <c r="D148" s="423">
        <v>9000</v>
      </c>
      <c r="E148" s="423">
        <v>7123.3</v>
      </c>
    </row>
    <row r="149" spans="1:5" ht="15.75">
      <c r="A149" s="413" t="s">
        <v>251</v>
      </c>
      <c r="B149" s="416" t="s">
        <v>252</v>
      </c>
      <c r="C149" s="416" t="s">
        <v>346</v>
      </c>
      <c r="D149" s="423">
        <v>24000</v>
      </c>
      <c r="E149" s="423">
        <v>23977.37</v>
      </c>
    </row>
    <row r="150" spans="1:5" ht="15.75">
      <c r="A150" s="413" t="s">
        <v>251</v>
      </c>
      <c r="B150" s="416" t="s">
        <v>252</v>
      </c>
      <c r="C150" s="416" t="s">
        <v>330</v>
      </c>
      <c r="D150" s="423">
        <v>17000</v>
      </c>
      <c r="E150" s="423">
        <v>15787.75</v>
      </c>
    </row>
    <row r="151" spans="1:5" ht="15.75">
      <c r="A151" s="413" t="s">
        <v>251</v>
      </c>
      <c r="B151" s="416" t="s">
        <v>252</v>
      </c>
      <c r="C151" s="416" t="s">
        <v>357</v>
      </c>
      <c r="D151" s="423">
        <v>4000</v>
      </c>
      <c r="E151" s="423">
        <v>3686.42</v>
      </c>
    </row>
    <row r="152" spans="1:5" ht="15.75">
      <c r="A152" s="413" t="s">
        <v>251</v>
      </c>
      <c r="B152" s="416" t="s">
        <v>252</v>
      </c>
      <c r="C152" s="416" t="s">
        <v>320</v>
      </c>
      <c r="D152" s="423">
        <v>12000</v>
      </c>
      <c r="E152" s="423">
        <v>10781.5</v>
      </c>
    </row>
    <row r="153" spans="1:5" ht="15.75">
      <c r="A153" s="413" t="s">
        <v>251</v>
      </c>
      <c r="B153" s="416" t="s">
        <v>252</v>
      </c>
      <c r="C153" s="416" t="s">
        <v>559</v>
      </c>
      <c r="D153" s="423">
        <v>1505</v>
      </c>
      <c r="E153" s="423">
        <v>1504.74</v>
      </c>
    </row>
    <row r="154" spans="1:5" ht="15.75">
      <c r="A154" s="413" t="s">
        <v>251</v>
      </c>
      <c r="B154" s="416" t="s">
        <v>252</v>
      </c>
      <c r="C154" s="416" t="s">
        <v>347</v>
      </c>
      <c r="D154" s="423">
        <v>66370</v>
      </c>
      <c r="E154" s="423">
        <v>66329.23</v>
      </c>
    </row>
    <row r="155" spans="1:5" ht="15.75">
      <c r="A155" s="413" t="s">
        <v>251</v>
      </c>
      <c r="B155" s="416" t="s">
        <v>252</v>
      </c>
      <c r="C155" s="416" t="s">
        <v>358</v>
      </c>
      <c r="D155" s="423">
        <v>258300</v>
      </c>
      <c r="E155" s="423">
        <v>258237</v>
      </c>
    </row>
    <row r="156" spans="1:5" ht="15.75">
      <c r="A156" s="413" t="s">
        <v>251</v>
      </c>
      <c r="B156" s="416" t="s">
        <v>252</v>
      </c>
      <c r="C156" s="416" t="s">
        <v>359</v>
      </c>
      <c r="D156" s="423">
        <v>16300</v>
      </c>
      <c r="E156" s="423">
        <v>13941</v>
      </c>
    </row>
    <row r="157" spans="1:5" ht="15.75">
      <c r="A157" s="413" t="s">
        <v>251</v>
      </c>
      <c r="B157" s="416" t="s">
        <v>252</v>
      </c>
      <c r="C157" s="416" t="s">
        <v>389</v>
      </c>
      <c r="D157" s="423">
        <v>12000</v>
      </c>
      <c r="E157" s="423">
        <v>10528.66</v>
      </c>
    </row>
    <row r="158" spans="1:5" ht="15.75">
      <c r="A158" s="413" t="s">
        <v>251</v>
      </c>
      <c r="B158" s="416" t="s">
        <v>252</v>
      </c>
      <c r="C158" s="416" t="s">
        <v>348</v>
      </c>
      <c r="D158" s="423">
        <v>10500</v>
      </c>
      <c r="E158" s="423">
        <v>9741.54</v>
      </c>
    </row>
    <row r="159" spans="1:5" ht="15.75">
      <c r="A159" s="413" t="s">
        <v>251</v>
      </c>
      <c r="B159" s="416" t="s">
        <v>252</v>
      </c>
      <c r="C159" s="416" t="s">
        <v>321</v>
      </c>
      <c r="D159" s="423">
        <v>69200</v>
      </c>
      <c r="E159" s="423">
        <v>65845.5</v>
      </c>
    </row>
    <row r="160" spans="1:5" ht="15.75">
      <c r="A160" s="421" t="s">
        <v>251</v>
      </c>
      <c r="B160" s="422" t="s">
        <v>252</v>
      </c>
      <c r="C160" s="422" t="s">
        <v>333</v>
      </c>
      <c r="D160" s="426">
        <v>140000</v>
      </c>
      <c r="E160" s="426">
        <v>108292.59</v>
      </c>
    </row>
    <row r="161" spans="1:5" ht="15.75">
      <c r="A161" s="421" t="s">
        <v>251</v>
      </c>
      <c r="B161" s="422" t="s">
        <v>252</v>
      </c>
      <c r="C161" s="422" t="s">
        <v>361</v>
      </c>
      <c r="D161" s="426">
        <v>53295</v>
      </c>
      <c r="E161" s="426">
        <v>0</v>
      </c>
    </row>
    <row r="162" spans="1:5" ht="15.75">
      <c r="A162" s="419"/>
      <c r="B162" s="420"/>
      <c r="C162" s="420"/>
      <c r="D162" s="425"/>
      <c r="E162" s="425"/>
    </row>
    <row r="163" spans="1:7" ht="15.75">
      <c r="A163" s="417" t="s">
        <v>251</v>
      </c>
      <c r="B163" s="418" t="s">
        <v>360</v>
      </c>
      <c r="C163" s="418" t="s">
        <v>327</v>
      </c>
      <c r="D163" s="424">
        <v>400</v>
      </c>
      <c r="E163" s="424">
        <v>244</v>
      </c>
      <c r="F163" s="424">
        <f>D163</f>
        <v>400</v>
      </c>
      <c r="G163" s="424">
        <f>E163</f>
        <v>244</v>
      </c>
    </row>
    <row r="164" spans="1:7" ht="15.75">
      <c r="A164" s="413" t="s">
        <v>251</v>
      </c>
      <c r="B164" s="416" t="s">
        <v>360</v>
      </c>
      <c r="C164" s="416" t="s">
        <v>328</v>
      </c>
      <c r="D164" s="423">
        <v>3800</v>
      </c>
      <c r="E164" s="423">
        <v>3525.2</v>
      </c>
      <c r="F164" s="423">
        <f>D164+D165</f>
        <v>5600</v>
      </c>
      <c r="G164" s="423">
        <f>E164+E165</f>
        <v>4989.2</v>
      </c>
    </row>
    <row r="165" spans="1:5" ht="15.75">
      <c r="A165" s="413" t="s">
        <v>251</v>
      </c>
      <c r="B165" s="416" t="s">
        <v>360</v>
      </c>
      <c r="C165" s="416" t="s">
        <v>319</v>
      </c>
      <c r="D165" s="423">
        <v>1800</v>
      </c>
      <c r="E165" s="423">
        <v>1464</v>
      </c>
    </row>
    <row r="167" spans="1:5" ht="15.75">
      <c r="A167" s="428" t="s">
        <v>251</v>
      </c>
      <c r="B167" s="429" t="s">
        <v>283</v>
      </c>
      <c r="C167" s="429" t="s">
        <v>404</v>
      </c>
      <c r="D167" s="430">
        <v>7000</v>
      </c>
      <c r="E167" s="430">
        <v>7000</v>
      </c>
    </row>
    <row r="168" spans="1:7" ht="15.75">
      <c r="A168" s="413" t="s">
        <v>251</v>
      </c>
      <c r="B168" s="416" t="s">
        <v>283</v>
      </c>
      <c r="C168" s="416" t="s">
        <v>353</v>
      </c>
      <c r="D168" s="423">
        <v>53720</v>
      </c>
      <c r="E168" s="423">
        <v>53010</v>
      </c>
      <c r="F168" s="423">
        <f>D168+D170+D171+D172</f>
        <v>117260</v>
      </c>
      <c r="G168" s="423">
        <f>E168+E170+E171+E172</f>
        <v>113514.5</v>
      </c>
    </row>
    <row r="169" spans="1:5" ht="15.75">
      <c r="A169" s="417" t="s">
        <v>251</v>
      </c>
      <c r="B169" s="418" t="s">
        <v>283</v>
      </c>
      <c r="C169" s="418" t="s">
        <v>327</v>
      </c>
      <c r="D169" s="424">
        <v>390</v>
      </c>
      <c r="E169" s="424">
        <v>322</v>
      </c>
    </row>
    <row r="170" spans="1:5" ht="15.75">
      <c r="A170" s="413" t="s">
        <v>251</v>
      </c>
      <c r="B170" s="416" t="s">
        <v>283</v>
      </c>
      <c r="C170" s="416" t="s">
        <v>328</v>
      </c>
      <c r="D170" s="423">
        <v>21760</v>
      </c>
      <c r="E170" s="423">
        <v>20181.84</v>
      </c>
    </row>
    <row r="171" spans="1:5" ht="15.75">
      <c r="A171" s="413" t="s">
        <v>251</v>
      </c>
      <c r="B171" s="416" t="s">
        <v>283</v>
      </c>
      <c r="C171" s="416" t="s">
        <v>319</v>
      </c>
      <c r="D171" s="423">
        <v>28980</v>
      </c>
      <c r="E171" s="423">
        <v>27872.66</v>
      </c>
    </row>
    <row r="172" spans="1:5" ht="15.75">
      <c r="A172" s="413" t="s">
        <v>251</v>
      </c>
      <c r="B172" s="416" t="s">
        <v>283</v>
      </c>
      <c r="C172" s="416" t="s">
        <v>320</v>
      </c>
      <c r="D172" s="423">
        <v>12800</v>
      </c>
      <c r="E172" s="423">
        <v>12450</v>
      </c>
    </row>
    <row r="174" spans="1:7" ht="15.75">
      <c r="A174" s="417" t="s">
        <v>276</v>
      </c>
      <c r="B174" s="418" t="s">
        <v>277</v>
      </c>
      <c r="C174" s="418" t="s">
        <v>325</v>
      </c>
      <c r="D174" s="424">
        <v>140</v>
      </c>
      <c r="E174" s="424">
        <v>139.19</v>
      </c>
      <c r="F174" s="424">
        <f>D174+D175+D176</f>
        <v>1073</v>
      </c>
      <c r="G174" s="424">
        <f>E174+E175+E176</f>
        <v>1066.71</v>
      </c>
    </row>
    <row r="175" spans="1:5" ht="15.75">
      <c r="A175" s="417" t="s">
        <v>276</v>
      </c>
      <c r="B175" s="418" t="s">
        <v>277</v>
      </c>
      <c r="C175" s="418" t="s">
        <v>326</v>
      </c>
      <c r="D175" s="424">
        <v>16</v>
      </c>
      <c r="E175" s="424">
        <v>11.22</v>
      </c>
    </row>
    <row r="176" spans="1:5" ht="15.75">
      <c r="A176" s="417" t="s">
        <v>276</v>
      </c>
      <c r="B176" s="418" t="s">
        <v>277</v>
      </c>
      <c r="C176" s="418" t="s">
        <v>327</v>
      </c>
      <c r="D176" s="424">
        <v>917</v>
      </c>
      <c r="E176" s="424">
        <v>916.3</v>
      </c>
    </row>
    <row r="177" spans="1:5" ht="15.75">
      <c r="A177" s="413" t="s">
        <v>276</v>
      </c>
      <c r="B177" s="416" t="s">
        <v>277</v>
      </c>
      <c r="C177" s="416" t="s">
        <v>321</v>
      </c>
      <c r="D177" s="423">
        <v>1873</v>
      </c>
      <c r="E177" s="423">
        <v>1868.04</v>
      </c>
    </row>
    <row r="179" spans="1:5" ht="15.75">
      <c r="A179" s="413" t="s">
        <v>276</v>
      </c>
      <c r="B179" s="416" t="s">
        <v>470</v>
      </c>
      <c r="C179" s="416" t="s">
        <v>353</v>
      </c>
      <c r="D179" s="423">
        <v>25200</v>
      </c>
      <c r="E179" s="423">
        <v>24930</v>
      </c>
    </row>
    <row r="180" spans="1:7" ht="15.75">
      <c r="A180" s="417" t="s">
        <v>276</v>
      </c>
      <c r="B180" s="418" t="s">
        <v>470</v>
      </c>
      <c r="C180" s="418" t="s">
        <v>325</v>
      </c>
      <c r="D180" s="424">
        <v>937.93</v>
      </c>
      <c r="E180" s="424">
        <v>933.15</v>
      </c>
      <c r="F180" s="424">
        <f>D180+D181+D182</f>
        <v>7240</v>
      </c>
      <c r="G180" s="424">
        <f>E180+E181+E182</f>
        <v>7227.98</v>
      </c>
    </row>
    <row r="181" spans="1:7" ht="15.75">
      <c r="A181" s="417" t="s">
        <v>276</v>
      </c>
      <c r="B181" s="418" t="s">
        <v>470</v>
      </c>
      <c r="C181" s="418" t="s">
        <v>326</v>
      </c>
      <c r="D181" s="424">
        <v>151.6</v>
      </c>
      <c r="E181" s="424">
        <v>150.54</v>
      </c>
      <c r="F181" s="423">
        <f>D179+D183+D184+D185+D186</f>
        <v>37956</v>
      </c>
      <c r="G181" s="423">
        <f>E179+E183+E184+E185+E186</f>
        <v>36142.55</v>
      </c>
    </row>
    <row r="182" spans="1:5" ht="15.75">
      <c r="A182" s="417" t="s">
        <v>276</v>
      </c>
      <c r="B182" s="418" t="s">
        <v>470</v>
      </c>
      <c r="C182" s="418" t="s">
        <v>327</v>
      </c>
      <c r="D182" s="424">
        <v>6150.47</v>
      </c>
      <c r="E182" s="424">
        <v>6144.29</v>
      </c>
    </row>
    <row r="183" spans="1:5" ht="15.75">
      <c r="A183" s="413" t="s">
        <v>276</v>
      </c>
      <c r="B183" s="416" t="s">
        <v>470</v>
      </c>
      <c r="C183" s="416" t="s">
        <v>328</v>
      </c>
      <c r="D183" s="423">
        <v>9976</v>
      </c>
      <c r="E183" s="423">
        <v>8444.89</v>
      </c>
    </row>
    <row r="184" spans="1:5" ht="15.75">
      <c r="A184" s="413" t="s">
        <v>276</v>
      </c>
      <c r="B184" s="416" t="s">
        <v>470</v>
      </c>
      <c r="C184" s="416" t="s">
        <v>319</v>
      </c>
      <c r="D184" s="423">
        <v>760</v>
      </c>
      <c r="E184" s="423">
        <v>754.05</v>
      </c>
    </row>
    <row r="185" spans="1:5" ht="15.75">
      <c r="A185" s="413" t="s">
        <v>276</v>
      </c>
      <c r="B185" s="416" t="s">
        <v>470</v>
      </c>
      <c r="C185" s="416" t="s">
        <v>330</v>
      </c>
      <c r="D185" s="423">
        <v>1480</v>
      </c>
      <c r="E185" s="423">
        <v>1474.98</v>
      </c>
    </row>
    <row r="186" spans="1:5" ht="15.75">
      <c r="A186" s="413" t="s">
        <v>276</v>
      </c>
      <c r="B186" s="416" t="s">
        <v>470</v>
      </c>
      <c r="C186" s="416" t="s">
        <v>348</v>
      </c>
      <c r="D186" s="423">
        <v>540</v>
      </c>
      <c r="E186" s="423">
        <v>538.63</v>
      </c>
    </row>
    <row r="188" spans="1:5" ht="15.75">
      <c r="A188" s="413" t="s">
        <v>263</v>
      </c>
      <c r="B188" s="416" t="s">
        <v>488</v>
      </c>
      <c r="C188" s="416" t="s">
        <v>489</v>
      </c>
      <c r="D188" s="423">
        <v>2000</v>
      </c>
      <c r="E188" s="423">
        <v>1995.99</v>
      </c>
    </row>
    <row r="190" spans="1:5" ht="15.75">
      <c r="A190" s="413" t="s">
        <v>263</v>
      </c>
      <c r="B190" s="416" t="s">
        <v>264</v>
      </c>
      <c r="C190" s="416" t="s">
        <v>322</v>
      </c>
      <c r="D190" s="423">
        <v>40</v>
      </c>
      <c r="E190" s="423">
        <v>0</v>
      </c>
    </row>
    <row r="191" spans="1:5" ht="15.75">
      <c r="A191" s="413" t="s">
        <v>263</v>
      </c>
      <c r="B191" s="416" t="s">
        <v>264</v>
      </c>
      <c r="C191" s="416" t="s">
        <v>353</v>
      </c>
      <c r="D191" s="423">
        <v>30360</v>
      </c>
      <c r="E191" s="423">
        <v>30178.25</v>
      </c>
    </row>
    <row r="192" spans="1:7" ht="15.75">
      <c r="A192" s="417" t="s">
        <v>263</v>
      </c>
      <c r="B192" s="418" t="s">
        <v>264</v>
      </c>
      <c r="C192" s="418" t="s">
        <v>323</v>
      </c>
      <c r="D192" s="424">
        <v>20260</v>
      </c>
      <c r="E192" s="424">
        <v>20023.09</v>
      </c>
      <c r="F192" s="424">
        <f>D192+D193+D194+D195+D196</f>
        <v>49990</v>
      </c>
      <c r="G192" s="424">
        <f>E192+E193+E194+E195+E196</f>
        <v>48604.520000000004</v>
      </c>
    </row>
    <row r="193" spans="1:7" ht="15.75">
      <c r="A193" s="417" t="s">
        <v>263</v>
      </c>
      <c r="B193" s="418" t="s">
        <v>264</v>
      </c>
      <c r="C193" s="418" t="s">
        <v>324</v>
      </c>
      <c r="D193" s="424">
        <v>1400</v>
      </c>
      <c r="E193" s="424">
        <v>1387.3</v>
      </c>
      <c r="F193" s="423">
        <f>D190+D191+D197+D198+D199+D200+D201+D202</f>
        <v>104702.9</v>
      </c>
      <c r="G193" s="423">
        <f>E190+E191+E197+E198+E199+E200+E201+E202</f>
        <v>91312.38</v>
      </c>
    </row>
    <row r="194" spans="1:5" ht="15.75">
      <c r="A194" s="417" t="s">
        <v>263</v>
      </c>
      <c r="B194" s="418" t="s">
        <v>264</v>
      </c>
      <c r="C194" s="418" t="s">
        <v>325</v>
      </c>
      <c r="D194" s="424">
        <v>5530</v>
      </c>
      <c r="E194" s="424">
        <v>5236.52</v>
      </c>
    </row>
    <row r="195" spans="1:5" ht="15.75">
      <c r="A195" s="417" t="s">
        <v>263</v>
      </c>
      <c r="B195" s="418" t="s">
        <v>264</v>
      </c>
      <c r="C195" s="418" t="s">
        <v>326</v>
      </c>
      <c r="D195" s="424">
        <v>600</v>
      </c>
      <c r="E195" s="424">
        <v>504.61</v>
      </c>
    </row>
    <row r="196" spans="1:5" ht="15.75">
      <c r="A196" s="417" t="s">
        <v>263</v>
      </c>
      <c r="B196" s="418" t="s">
        <v>264</v>
      </c>
      <c r="C196" s="418" t="s">
        <v>327</v>
      </c>
      <c r="D196" s="424">
        <v>22200</v>
      </c>
      <c r="E196" s="424">
        <v>21453</v>
      </c>
    </row>
    <row r="197" spans="1:5" ht="15.75">
      <c r="A197" s="413" t="s">
        <v>263</v>
      </c>
      <c r="B197" s="416" t="s">
        <v>264</v>
      </c>
      <c r="C197" s="416" t="s">
        <v>328</v>
      </c>
      <c r="D197" s="423">
        <v>47802.9</v>
      </c>
      <c r="E197" s="423">
        <v>36546.8</v>
      </c>
    </row>
    <row r="198" spans="1:5" ht="15.75">
      <c r="A198" s="413" t="s">
        <v>263</v>
      </c>
      <c r="B198" s="416" t="s">
        <v>264</v>
      </c>
      <c r="C198" s="416" t="s">
        <v>337</v>
      </c>
      <c r="D198" s="423">
        <v>6600</v>
      </c>
      <c r="E198" s="423">
        <v>5757.27</v>
      </c>
    </row>
    <row r="199" spans="1:5" ht="15.75">
      <c r="A199" s="413" t="s">
        <v>263</v>
      </c>
      <c r="B199" s="416" t="s">
        <v>264</v>
      </c>
      <c r="C199" s="416" t="s">
        <v>329</v>
      </c>
      <c r="D199" s="423">
        <v>5000</v>
      </c>
      <c r="E199" s="423">
        <v>4870</v>
      </c>
    </row>
    <row r="200" spans="1:5" ht="15.75">
      <c r="A200" s="413" t="s">
        <v>263</v>
      </c>
      <c r="B200" s="416" t="s">
        <v>264</v>
      </c>
      <c r="C200" s="416" t="s">
        <v>319</v>
      </c>
      <c r="D200" s="423">
        <v>3900</v>
      </c>
      <c r="E200" s="423">
        <v>3595.67</v>
      </c>
    </row>
    <row r="201" spans="1:5" ht="15.75">
      <c r="A201" s="413" t="s">
        <v>263</v>
      </c>
      <c r="B201" s="416" t="s">
        <v>264</v>
      </c>
      <c r="C201" s="416" t="s">
        <v>345</v>
      </c>
      <c r="D201" s="423">
        <v>7000</v>
      </c>
      <c r="E201" s="423">
        <v>6470.6</v>
      </c>
    </row>
    <row r="202" spans="1:5" ht="15.75">
      <c r="A202" s="413" t="s">
        <v>263</v>
      </c>
      <c r="B202" s="416" t="s">
        <v>264</v>
      </c>
      <c r="C202" s="416" t="s">
        <v>320</v>
      </c>
      <c r="D202" s="423">
        <v>4000</v>
      </c>
      <c r="E202" s="423">
        <v>3893.79</v>
      </c>
    </row>
    <row r="204" spans="1:5" ht="15.75">
      <c r="A204" s="413" t="s">
        <v>263</v>
      </c>
      <c r="B204" s="416" t="s">
        <v>362</v>
      </c>
      <c r="C204" s="416" t="s">
        <v>319</v>
      </c>
      <c r="D204" s="423">
        <v>3000</v>
      </c>
      <c r="E204" s="423">
        <v>2940.2</v>
      </c>
    </row>
    <row r="205" spans="1:5" ht="15.75">
      <c r="A205" s="421" t="s">
        <v>263</v>
      </c>
      <c r="B205" s="422" t="s">
        <v>362</v>
      </c>
      <c r="C205" s="422" t="s">
        <v>361</v>
      </c>
      <c r="D205" s="426">
        <v>17700.1</v>
      </c>
      <c r="E205" s="426">
        <v>17700.01</v>
      </c>
    </row>
    <row r="206" spans="1:8" s="432" customFormat="1" ht="15.75">
      <c r="A206" s="419"/>
      <c r="B206" s="420"/>
      <c r="C206" s="420"/>
      <c r="D206" s="425"/>
      <c r="E206" s="425"/>
      <c r="F206" s="425"/>
      <c r="G206" s="425"/>
      <c r="H206" s="431"/>
    </row>
    <row r="207" spans="1:7" ht="15.75">
      <c r="A207" s="417" t="s">
        <v>241</v>
      </c>
      <c r="B207" s="418" t="s">
        <v>363</v>
      </c>
      <c r="C207" s="418" t="s">
        <v>323</v>
      </c>
      <c r="D207" s="424">
        <v>1600</v>
      </c>
      <c r="E207" s="424">
        <v>1292.05</v>
      </c>
      <c r="F207" s="424">
        <f>D207+D208+D209+D210</f>
        <v>50610</v>
      </c>
      <c r="G207" s="424">
        <f>E207+E208+E209+E210</f>
        <v>49682.22</v>
      </c>
    </row>
    <row r="208" spans="1:7" ht="15.75">
      <c r="A208" s="417" t="s">
        <v>241</v>
      </c>
      <c r="B208" s="418" t="s">
        <v>363</v>
      </c>
      <c r="C208" s="418" t="s">
        <v>340</v>
      </c>
      <c r="D208" s="424">
        <v>48800</v>
      </c>
      <c r="E208" s="424">
        <v>48271.23</v>
      </c>
      <c r="F208" s="423">
        <f>D211+D212</f>
        <v>9390</v>
      </c>
      <c r="G208" s="423">
        <f>E211+E212</f>
        <v>5545.63</v>
      </c>
    </row>
    <row r="209" spans="1:5" ht="15.75">
      <c r="A209" s="417" t="s">
        <v>241</v>
      </c>
      <c r="B209" s="418" t="s">
        <v>363</v>
      </c>
      <c r="C209" s="418" t="s">
        <v>325</v>
      </c>
      <c r="D209" s="424">
        <v>90</v>
      </c>
      <c r="E209" s="424">
        <v>87.27</v>
      </c>
    </row>
    <row r="210" spans="1:5" ht="15.75">
      <c r="A210" s="417" t="s">
        <v>241</v>
      </c>
      <c r="B210" s="418" t="s">
        <v>363</v>
      </c>
      <c r="C210" s="418" t="s">
        <v>326</v>
      </c>
      <c r="D210" s="424">
        <v>120</v>
      </c>
      <c r="E210" s="424">
        <v>31.67</v>
      </c>
    </row>
    <row r="211" spans="1:5" ht="15.75">
      <c r="A211" s="413" t="s">
        <v>241</v>
      </c>
      <c r="B211" s="416" t="s">
        <v>363</v>
      </c>
      <c r="C211" s="416" t="s">
        <v>319</v>
      </c>
      <c r="D211" s="423">
        <v>1000</v>
      </c>
      <c r="E211" s="423">
        <v>49.2</v>
      </c>
    </row>
    <row r="212" spans="1:5" ht="15.75">
      <c r="A212" s="413" t="s">
        <v>241</v>
      </c>
      <c r="B212" s="416" t="s">
        <v>363</v>
      </c>
      <c r="C212" s="416" t="s">
        <v>320</v>
      </c>
      <c r="D212" s="423">
        <v>8390</v>
      </c>
      <c r="E212" s="423">
        <v>5496.43</v>
      </c>
    </row>
    <row r="214" spans="1:5" ht="15.75">
      <c r="A214" s="413" t="s">
        <v>364</v>
      </c>
      <c r="B214" s="416" t="s">
        <v>365</v>
      </c>
      <c r="C214" s="416" t="s">
        <v>366</v>
      </c>
      <c r="D214" s="423">
        <v>138212.01</v>
      </c>
      <c r="E214" s="423">
        <v>120774.27</v>
      </c>
    </row>
    <row r="216" spans="1:5" ht="15.75">
      <c r="A216" s="413" t="s">
        <v>267</v>
      </c>
      <c r="B216" s="416" t="s">
        <v>367</v>
      </c>
      <c r="C216" s="416" t="s">
        <v>368</v>
      </c>
      <c r="D216" s="423">
        <v>40007</v>
      </c>
      <c r="E216" s="423">
        <v>0</v>
      </c>
    </row>
    <row r="218" spans="1:5" ht="15.75">
      <c r="A218" s="413" t="s">
        <v>204</v>
      </c>
      <c r="B218" s="416" t="s">
        <v>261</v>
      </c>
      <c r="C218" s="416" t="s">
        <v>322</v>
      </c>
      <c r="D218" s="423">
        <v>253031</v>
      </c>
      <c r="E218" s="423">
        <v>251855.6</v>
      </c>
    </row>
    <row r="219" spans="1:8" ht="15.75">
      <c r="A219" s="413" t="s">
        <v>204</v>
      </c>
      <c r="B219" s="416" t="s">
        <v>261</v>
      </c>
      <c r="C219" s="416" t="s">
        <v>322</v>
      </c>
      <c r="D219" s="423">
        <v>3800</v>
      </c>
      <c r="E219" s="423">
        <v>3689.7</v>
      </c>
      <c r="H219" s="414"/>
    </row>
    <row r="220" spans="1:5" ht="15.75">
      <c r="A220" s="413" t="s">
        <v>204</v>
      </c>
      <c r="B220" s="416" t="s">
        <v>261</v>
      </c>
      <c r="C220" s="416" t="s">
        <v>369</v>
      </c>
      <c r="D220" s="423">
        <v>3745</v>
      </c>
      <c r="E220" s="423">
        <v>3744.27</v>
      </c>
    </row>
    <row r="221" spans="1:7" ht="15.75">
      <c r="A221" s="417" t="s">
        <v>204</v>
      </c>
      <c r="B221" s="418" t="s">
        <v>261</v>
      </c>
      <c r="C221" s="418" t="s">
        <v>323</v>
      </c>
      <c r="D221" s="424">
        <v>5197395.29</v>
      </c>
      <c r="E221" s="424">
        <v>5196165.38</v>
      </c>
      <c r="F221" s="424">
        <f>SUM(D221:D230)</f>
        <v>7137603.44</v>
      </c>
      <c r="G221" s="424">
        <f>SUM(E221:E230)</f>
        <v>6974455.819999999</v>
      </c>
    </row>
    <row r="222" spans="1:8" ht="15.75">
      <c r="A222" s="417" t="s">
        <v>204</v>
      </c>
      <c r="B222" s="418" t="s">
        <v>261</v>
      </c>
      <c r="C222" s="418" t="s">
        <v>323</v>
      </c>
      <c r="D222" s="424">
        <v>416419.15</v>
      </c>
      <c r="E222" s="424">
        <v>286420.76</v>
      </c>
      <c r="F222" s="423">
        <f>D218+D219+D220+SUM(D231:D259)</f>
        <v>2346041.03</v>
      </c>
      <c r="G222" s="423">
        <f>E218+E219+E220+SUM(E231:E259)</f>
        <v>2211261.01</v>
      </c>
      <c r="H222" s="414"/>
    </row>
    <row r="223" spans="1:7" ht="15.75">
      <c r="A223" s="417" t="s">
        <v>204</v>
      </c>
      <c r="B223" s="418" t="s">
        <v>261</v>
      </c>
      <c r="C223" s="418" t="s">
        <v>324</v>
      </c>
      <c r="D223" s="424">
        <v>404878</v>
      </c>
      <c r="E223" s="424">
        <v>395122.84</v>
      </c>
      <c r="F223" s="426">
        <f>D260+D261+D262+D263+D264</f>
        <v>671810.75</v>
      </c>
      <c r="G223" s="426">
        <f>E260+E261+E262+E263+E264</f>
        <v>646649.2500000001</v>
      </c>
    </row>
    <row r="224" spans="1:8" ht="15.75">
      <c r="A224" s="417" t="s">
        <v>204</v>
      </c>
      <c r="B224" s="418" t="s">
        <v>261</v>
      </c>
      <c r="C224" s="418" t="s">
        <v>324</v>
      </c>
      <c r="D224" s="424">
        <v>21200</v>
      </c>
      <c r="E224" s="424">
        <v>21108.26</v>
      </c>
      <c r="H224" s="414"/>
    </row>
    <row r="225" spans="1:5" ht="15.75">
      <c r="A225" s="417" t="s">
        <v>204</v>
      </c>
      <c r="B225" s="418" t="s">
        <v>261</v>
      </c>
      <c r="C225" s="418" t="s">
        <v>325</v>
      </c>
      <c r="D225" s="424">
        <v>867375</v>
      </c>
      <c r="E225" s="424">
        <v>853174.33</v>
      </c>
    </row>
    <row r="226" spans="1:8" ht="15.75">
      <c r="A226" s="417" t="s">
        <v>204</v>
      </c>
      <c r="B226" s="418" t="s">
        <v>261</v>
      </c>
      <c r="C226" s="418" t="s">
        <v>325</v>
      </c>
      <c r="D226" s="424">
        <v>46000</v>
      </c>
      <c r="E226" s="424">
        <v>45478.5</v>
      </c>
      <c r="H226" s="414"/>
    </row>
    <row r="227" spans="1:5" ht="15.75">
      <c r="A227" s="417" t="s">
        <v>204</v>
      </c>
      <c r="B227" s="418" t="s">
        <v>261</v>
      </c>
      <c r="C227" s="418" t="s">
        <v>326</v>
      </c>
      <c r="D227" s="424">
        <v>141757</v>
      </c>
      <c r="E227" s="424">
        <v>136561</v>
      </c>
    </row>
    <row r="228" spans="1:8" ht="15.75">
      <c r="A228" s="417" t="s">
        <v>204</v>
      </c>
      <c r="B228" s="418" t="s">
        <v>261</v>
      </c>
      <c r="C228" s="418" t="s">
        <v>326</v>
      </c>
      <c r="D228" s="424">
        <v>7000</v>
      </c>
      <c r="E228" s="424">
        <v>6309</v>
      </c>
      <c r="H228" s="414"/>
    </row>
    <row r="229" spans="1:5" ht="15.75">
      <c r="A229" s="417" t="s">
        <v>204</v>
      </c>
      <c r="B229" s="418" t="s">
        <v>261</v>
      </c>
      <c r="C229" s="418" t="s">
        <v>327</v>
      </c>
      <c r="D229" s="424">
        <v>32579</v>
      </c>
      <c r="E229" s="424">
        <v>32315.75</v>
      </c>
    </row>
    <row r="230" spans="1:8" ht="15.75">
      <c r="A230" s="417" t="s">
        <v>204</v>
      </c>
      <c r="B230" s="418" t="s">
        <v>261</v>
      </c>
      <c r="C230" s="418" t="s">
        <v>327</v>
      </c>
      <c r="D230" s="424">
        <v>3000</v>
      </c>
      <c r="E230" s="424">
        <v>1800</v>
      </c>
      <c r="H230" s="414"/>
    </row>
    <row r="231" spans="1:5" ht="15.75">
      <c r="A231" s="413" t="s">
        <v>204</v>
      </c>
      <c r="B231" s="416" t="s">
        <v>261</v>
      </c>
      <c r="C231" s="416" t="s">
        <v>328</v>
      </c>
      <c r="D231" s="423">
        <v>25000</v>
      </c>
      <c r="E231" s="423">
        <v>10417.44</v>
      </c>
    </row>
    <row r="232" spans="1:8" ht="15.75">
      <c r="A232" s="413" t="s">
        <v>204</v>
      </c>
      <c r="B232" s="416" t="s">
        <v>261</v>
      </c>
      <c r="C232" s="416" t="s">
        <v>328</v>
      </c>
      <c r="D232" s="423">
        <v>423313</v>
      </c>
      <c r="E232" s="423">
        <v>416870.97</v>
      </c>
      <c r="H232" s="414"/>
    </row>
    <row r="233" spans="1:5" ht="15.75">
      <c r="A233" s="413" t="s">
        <v>204</v>
      </c>
      <c r="B233" s="416" t="s">
        <v>261</v>
      </c>
      <c r="C233" s="416" t="s">
        <v>370</v>
      </c>
      <c r="D233" s="423">
        <v>97706</v>
      </c>
      <c r="E233" s="423">
        <v>96021.02</v>
      </c>
    </row>
    <row r="234" spans="1:5" ht="15.75">
      <c r="A234" s="413" t="s">
        <v>204</v>
      </c>
      <c r="B234" s="416" t="s">
        <v>261</v>
      </c>
      <c r="C234" s="416" t="s">
        <v>337</v>
      </c>
      <c r="D234" s="423">
        <v>20000</v>
      </c>
      <c r="E234" s="423">
        <v>15002.04</v>
      </c>
    </row>
    <row r="235" spans="1:8" ht="15.75">
      <c r="A235" s="413" t="s">
        <v>204</v>
      </c>
      <c r="B235" s="416" t="s">
        <v>261</v>
      </c>
      <c r="C235" s="416" t="s">
        <v>337</v>
      </c>
      <c r="D235" s="423">
        <v>329904</v>
      </c>
      <c r="E235" s="423">
        <v>329474.56</v>
      </c>
      <c r="H235" s="414"/>
    </row>
    <row r="236" spans="1:5" ht="15.75">
      <c r="A236" s="413" t="s">
        <v>204</v>
      </c>
      <c r="B236" s="416" t="s">
        <v>261</v>
      </c>
      <c r="C236" s="416" t="s">
        <v>343</v>
      </c>
      <c r="D236" s="423">
        <v>53720.25</v>
      </c>
      <c r="E236" s="423">
        <v>53720.25</v>
      </c>
    </row>
    <row r="237" spans="1:5" ht="15.75">
      <c r="A237" s="413" t="s">
        <v>204</v>
      </c>
      <c r="B237" s="416" t="s">
        <v>261</v>
      </c>
      <c r="C237" s="416" t="s">
        <v>343</v>
      </c>
      <c r="D237" s="423">
        <v>72788</v>
      </c>
      <c r="E237" s="423">
        <v>72658.05</v>
      </c>
    </row>
    <row r="238" spans="1:8" ht="15.75">
      <c r="A238" s="413" t="s">
        <v>204</v>
      </c>
      <c r="B238" s="416" t="s">
        <v>261</v>
      </c>
      <c r="C238" s="416" t="s">
        <v>343</v>
      </c>
      <c r="D238" s="423">
        <v>333914.43</v>
      </c>
      <c r="E238" s="423">
        <v>279595.42</v>
      </c>
      <c r="H238" s="414"/>
    </row>
    <row r="239" spans="1:5" ht="15.75">
      <c r="A239" s="413" t="s">
        <v>204</v>
      </c>
      <c r="B239" s="416" t="s">
        <v>261</v>
      </c>
      <c r="C239" s="416" t="s">
        <v>329</v>
      </c>
      <c r="D239" s="423">
        <v>1000</v>
      </c>
      <c r="E239" s="423">
        <v>633</v>
      </c>
    </row>
    <row r="240" spans="1:8" ht="15.75">
      <c r="A240" s="413" t="s">
        <v>204</v>
      </c>
      <c r="B240" s="416" t="s">
        <v>261</v>
      </c>
      <c r="C240" s="416" t="s">
        <v>329</v>
      </c>
      <c r="D240" s="423">
        <v>9228</v>
      </c>
      <c r="E240" s="423">
        <v>8529.35</v>
      </c>
      <c r="H240" s="414"/>
    </row>
    <row r="241" spans="1:5" ht="15.75">
      <c r="A241" s="413" t="s">
        <v>204</v>
      </c>
      <c r="B241" s="416" t="s">
        <v>261</v>
      </c>
      <c r="C241" s="416" t="s">
        <v>319</v>
      </c>
      <c r="D241" s="423">
        <v>40544.25</v>
      </c>
      <c r="E241" s="423">
        <v>27526.4</v>
      </c>
    </row>
    <row r="242" spans="1:8" ht="15.75">
      <c r="A242" s="413" t="s">
        <v>204</v>
      </c>
      <c r="B242" s="416" t="s">
        <v>261</v>
      </c>
      <c r="C242" s="416" t="s">
        <v>319</v>
      </c>
      <c r="D242" s="423">
        <v>217000</v>
      </c>
      <c r="E242" s="423">
        <v>209461.15</v>
      </c>
      <c r="H242" s="414"/>
    </row>
    <row r="243" spans="1:5" ht="15.75">
      <c r="A243" s="413" t="s">
        <v>204</v>
      </c>
      <c r="B243" s="416" t="s">
        <v>261</v>
      </c>
      <c r="C243" s="416" t="s">
        <v>344</v>
      </c>
      <c r="D243" s="423">
        <v>13650</v>
      </c>
      <c r="E243" s="423">
        <v>12529.65</v>
      </c>
    </row>
    <row r="244" spans="1:8" ht="15.75">
      <c r="A244" s="413" t="s">
        <v>204</v>
      </c>
      <c r="B244" s="416" t="s">
        <v>261</v>
      </c>
      <c r="C244" s="416" t="s">
        <v>344</v>
      </c>
      <c r="D244" s="423">
        <v>1000</v>
      </c>
      <c r="E244" s="423">
        <v>0</v>
      </c>
      <c r="H244" s="414"/>
    </row>
    <row r="245" spans="1:5" ht="15.75">
      <c r="A245" s="413" t="s">
        <v>204</v>
      </c>
      <c r="B245" s="416" t="s">
        <v>261</v>
      </c>
      <c r="C245" s="416" t="s">
        <v>345</v>
      </c>
      <c r="D245" s="423">
        <v>1500</v>
      </c>
      <c r="E245" s="423">
        <v>593.2</v>
      </c>
    </row>
    <row r="246" spans="1:5" ht="15.75">
      <c r="A246" s="413" t="s">
        <v>204</v>
      </c>
      <c r="B246" s="416" t="s">
        <v>261</v>
      </c>
      <c r="C246" s="416" t="s">
        <v>346</v>
      </c>
      <c r="D246" s="423">
        <v>8500</v>
      </c>
      <c r="E246" s="423">
        <v>6163.34</v>
      </c>
    </row>
    <row r="247" spans="1:8" ht="15.75">
      <c r="A247" s="413" t="s">
        <v>204</v>
      </c>
      <c r="B247" s="416" t="s">
        <v>261</v>
      </c>
      <c r="C247" s="416" t="s">
        <v>346</v>
      </c>
      <c r="D247" s="423">
        <v>18538</v>
      </c>
      <c r="E247" s="423">
        <v>17939.74</v>
      </c>
      <c r="H247" s="414"/>
    </row>
    <row r="248" spans="1:5" ht="15.75">
      <c r="A248" s="413" t="s">
        <v>204</v>
      </c>
      <c r="B248" s="416" t="s">
        <v>261</v>
      </c>
      <c r="C248" s="416" t="s">
        <v>330</v>
      </c>
      <c r="D248" s="423">
        <v>8000</v>
      </c>
      <c r="E248" s="423">
        <v>4306.31</v>
      </c>
    </row>
    <row r="249" spans="1:8" ht="15.75">
      <c r="A249" s="413" t="s">
        <v>204</v>
      </c>
      <c r="B249" s="416" t="s">
        <v>261</v>
      </c>
      <c r="C249" s="416" t="s">
        <v>330</v>
      </c>
      <c r="D249" s="423">
        <v>7794</v>
      </c>
      <c r="E249" s="423">
        <v>6019.33</v>
      </c>
      <c r="H249" s="414"/>
    </row>
    <row r="250" spans="1:5" ht="15.75">
      <c r="A250" s="413" t="s">
        <v>204</v>
      </c>
      <c r="B250" s="416" t="s">
        <v>261</v>
      </c>
      <c r="C250" s="416" t="s">
        <v>320</v>
      </c>
      <c r="D250" s="423">
        <v>3800</v>
      </c>
      <c r="E250" s="423">
        <v>3770</v>
      </c>
    </row>
    <row r="251" spans="1:8" ht="15.75">
      <c r="A251" s="413" t="s">
        <v>204</v>
      </c>
      <c r="B251" s="416" t="s">
        <v>261</v>
      </c>
      <c r="C251" s="416" t="s">
        <v>320</v>
      </c>
      <c r="D251" s="423">
        <v>10674</v>
      </c>
      <c r="E251" s="423">
        <v>7954</v>
      </c>
      <c r="H251" s="414"/>
    </row>
    <row r="252" spans="1:5" ht="15.75">
      <c r="A252" s="413" t="s">
        <v>204</v>
      </c>
      <c r="B252" s="416" t="s">
        <v>261</v>
      </c>
      <c r="C252" s="416" t="s">
        <v>347</v>
      </c>
      <c r="D252" s="423">
        <v>14000</v>
      </c>
      <c r="E252" s="423">
        <v>12167.14</v>
      </c>
    </row>
    <row r="253" spans="1:8" ht="15.75">
      <c r="A253" s="413" t="s">
        <v>204</v>
      </c>
      <c r="B253" s="416" t="s">
        <v>261</v>
      </c>
      <c r="C253" s="416" t="s">
        <v>347</v>
      </c>
      <c r="D253" s="423">
        <v>335846.1</v>
      </c>
      <c r="E253" s="423">
        <v>332592.23</v>
      </c>
      <c r="H253" s="414"/>
    </row>
    <row r="254" spans="1:5" ht="15.75">
      <c r="A254" s="413" t="s">
        <v>204</v>
      </c>
      <c r="B254" s="416" t="s">
        <v>261</v>
      </c>
      <c r="C254" s="416" t="s">
        <v>389</v>
      </c>
      <c r="D254" s="423">
        <v>2218</v>
      </c>
      <c r="E254" s="423">
        <v>2139</v>
      </c>
    </row>
    <row r="255" spans="1:8" ht="15.75">
      <c r="A255" s="413" t="s">
        <v>204</v>
      </c>
      <c r="B255" s="416" t="s">
        <v>261</v>
      </c>
      <c r="C255" s="416" t="s">
        <v>389</v>
      </c>
      <c r="D255" s="423">
        <v>3000</v>
      </c>
      <c r="E255" s="423">
        <v>2680</v>
      </c>
      <c r="H255" s="414"/>
    </row>
    <row r="256" spans="1:5" ht="15.75">
      <c r="A256" s="413" t="s">
        <v>204</v>
      </c>
      <c r="B256" s="416" t="s">
        <v>261</v>
      </c>
      <c r="C256" s="416" t="s">
        <v>348</v>
      </c>
      <c r="D256" s="423">
        <v>1000</v>
      </c>
      <c r="E256" s="423">
        <v>821.67</v>
      </c>
    </row>
    <row r="257" spans="1:8" ht="15.75">
      <c r="A257" s="413" t="s">
        <v>204</v>
      </c>
      <c r="B257" s="416" t="s">
        <v>261</v>
      </c>
      <c r="C257" s="416" t="s">
        <v>348</v>
      </c>
      <c r="D257" s="423">
        <v>6453</v>
      </c>
      <c r="E257" s="423">
        <v>5262.2</v>
      </c>
      <c r="H257" s="414"/>
    </row>
    <row r="258" spans="1:5" ht="15.75">
      <c r="A258" s="413" t="s">
        <v>204</v>
      </c>
      <c r="B258" s="416" t="s">
        <v>261</v>
      </c>
      <c r="C258" s="416" t="s">
        <v>321</v>
      </c>
      <c r="D258" s="423">
        <v>10000</v>
      </c>
      <c r="E258" s="423">
        <v>3859.7</v>
      </c>
    </row>
    <row r="259" spans="1:8" ht="15.75">
      <c r="A259" s="413" t="s">
        <v>204</v>
      </c>
      <c r="B259" s="416" t="s">
        <v>261</v>
      </c>
      <c r="C259" s="416" t="s">
        <v>321</v>
      </c>
      <c r="D259" s="423">
        <v>15374</v>
      </c>
      <c r="E259" s="423">
        <v>13264.28</v>
      </c>
      <c r="H259" s="414"/>
    </row>
    <row r="260" spans="1:5" ht="15.75">
      <c r="A260" s="421" t="s">
        <v>204</v>
      </c>
      <c r="B260" s="422" t="s">
        <v>261</v>
      </c>
      <c r="C260" s="422" t="s">
        <v>333</v>
      </c>
      <c r="D260" s="426">
        <v>157000.75</v>
      </c>
      <c r="E260" s="426">
        <v>151467.32</v>
      </c>
    </row>
    <row r="261" spans="1:5" ht="15.75">
      <c r="A261" s="421" t="s">
        <v>204</v>
      </c>
      <c r="B261" s="422" t="s">
        <v>261</v>
      </c>
      <c r="C261" s="422" t="s">
        <v>371</v>
      </c>
      <c r="D261" s="426">
        <v>399500</v>
      </c>
      <c r="E261" s="426">
        <v>392334.08</v>
      </c>
    </row>
    <row r="262" spans="1:5" ht="15.75">
      <c r="A262" s="421" t="s">
        <v>204</v>
      </c>
      <c r="B262" s="422" t="s">
        <v>261</v>
      </c>
      <c r="C262" s="422" t="s">
        <v>372</v>
      </c>
      <c r="D262" s="426">
        <v>70500</v>
      </c>
      <c r="E262" s="426">
        <v>69235.43</v>
      </c>
    </row>
    <row r="263" spans="1:5" ht="15.75">
      <c r="A263" s="421" t="s">
        <v>204</v>
      </c>
      <c r="B263" s="422" t="s">
        <v>261</v>
      </c>
      <c r="C263" s="422" t="s">
        <v>361</v>
      </c>
      <c r="D263" s="426">
        <v>12810</v>
      </c>
      <c r="E263" s="426">
        <v>12810</v>
      </c>
    </row>
    <row r="264" spans="1:8" ht="15.75">
      <c r="A264" s="421" t="s">
        <v>204</v>
      </c>
      <c r="B264" s="422" t="s">
        <v>261</v>
      </c>
      <c r="C264" s="422" t="s">
        <v>361</v>
      </c>
      <c r="D264" s="426">
        <v>32000</v>
      </c>
      <c r="E264" s="426">
        <v>20802.42</v>
      </c>
      <c r="H264" s="414"/>
    </row>
    <row r="265" spans="1:8" ht="15.75">
      <c r="A265" s="419"/>
      <c r="B265" s="420"/>
      <c r="C265" s="420"/>
      <c r="D265" s="425"/>
      <c r="E265" s="425"/>
      <c r="H265" s="414"/>
    </row>
    <row r="266" spans="1:5" ht="15.75">
      <c r="A266" s="413" t="s">
        <v>204</v>
      </c>
      <c r="B266" s="416" t="s">
        <v>373</v>
      </c>
      <c r="C266" s="416" t="s">
        <v>322</v>
      </c>
      <c r="D266" s="423">
        <v>32851.12</v>
      </c>
      <c r="E266" s="423">
        <v>29765.61</v>
      </c>
    </row>
    <row r="267" spans="1:7" ht="15.75">
      <c r="A267" s="417" t="s">
        <v>204</v>
      </c>
      <c r="B267" s="418" t="s">
        <v>373</v>
      </c>
      <c r="C267" s="418" t="s">
        <v>323</v>
      </c>
      <c r="D267" s="424">
        <v>359200</v>
      </c>
      <c r="E267" s="424">
        <v>352321.78</v>
      </c>
      <c r="F267" s="424">
        <f>D267+D268+D269+D270</f>
        <v>463100</v>
      </c>
      <c r="G267" s="424">
        <f>E267+E268+E269+E270</f>
        <v>446575.41000000003</v>
      </c>
    </row>
    <row r="268" spans="1:7" ht="15.75">
      <c r="A268" s="417" t="s">
        <v>204</v>
      </c>
      <c r="B268" s="418" t="s">
        <v>373</v>
      </c>
      <c r="C268" s="418" t="s">
        <v>324</v>
      </c>
      <c r="D268" s="424">
        <v>28100</v>
      </c>
      <c r="E268" s="424">
        <v>24557.99</v>
      </c>
      <c r="F268" s="423">
        <f>D266+SUM(D271:D283)</f>
        <v>125792.12</v>
      </c>
      <c r="G268" s="423">
        <f>E266+SUM(E271:E283)</f>
        <v>113224.02</v>
      </c>
    </row>
    <row r="269" spans="1:5" ht="15.75">
      <c r="A269" s="417" t="s">
        <v>204</v>
      </c>
      <c r="B269" s="418" t="s">
        <v>373</v>
      </c>
      <c r="C269" s="418" t="s">
        <v>325</v>
      </c>
      <c r="D269" s="424">
        <v>65000</v>
      </c>
      <c r="E269" s="424">
        <v>60170.71</v>
      </c>
    </row>
    <row r="270" spans="1:5" ht="15.75">
      <c r="A270" s="417" t="s">
        <v>204</v>
      </c>
      <c r="B270" s="418" t="s">
        <v>373</v>
      </c>
      <c r="C270" s="418" t="s">
        <v>326</v>
      </c>
      <c r="D270" s="424">
        <v>10800</v>
      </c>
      <c r="E270" s="424">
        <v>9524.93</v>
      </c>
    </row>
    <row r="271" spans="1:5" ht="15.75">
      <c r="A271" s="413" t="s">
        <v>204</v>
      </c>
      <c r="B271" s="416" t="s">
        <v>373</v>
      </c>
      <c r="C271" s="416" t="s">
        <v>328</v>
      </c>
      <c r="D271" s="423">
        <v>36750</v>
      </c>
      <c r="E271" s="423">
        <v>35297.48</v>
      </c>
    </row>
    <row r="272" spans="1:5" ht="15.75">
      <c r="A272" s="413" t="s">
        <v>204</v>
      </c>
      <c r="B272" s="416" t="s">
        <v>373</v>
      </c>
      <c r="C272" s="416" t="s">
        <v>370</v>
      </c>
      <c r="D272" s="423">
        <v>3000</v>
      </c>
      <c r="E272" s="423">
        <v>1656.65</v>
      </c>
    </row>
    <row r="273" spans="1:5" ht="15.75">
      <c r="A273" s="413" t="s">
        <v>204</v>
      </c>
      <c r="B273" s="416" t="s">
        <v>373</v>
      </c>
      <c r="C273" s="416" t="s">
        <v>337</v>
      </c>
      <c r="D273" s="423">
        <v>11830</v>
      </c>
      <c r="E273" s="423">
        <v>11087.88</v>
      </c>
    </row>
    <row r="274" spans="1:5" ht="15.75">
      <c r="A274" s="413" t="s">
        <v>204</v>
      </c>
      <c r="B274" s="416" t="s">
        <v>373</v>
      </c>
      <c r="C274" s="416" t="s">
        <v>343</v>
      </c>
      <c r="D274" s="423">
        <v>1050</v>
      </c>
      <c r="E274" s="423">
        <v>1040.08</v>
      </c>
    </row>
    <row r="275" spans="1:5" ht="15.75">
      <c r="A275" s="413" t="s">
        <v>204</v>
      </c>
      <c r="B275" s="416" t="s">
        <v>373</v>
      </c>
      <c r="C275" s="416" t="s">
        <v>329</v>
      </c>
      <c r="D275" s="423">
        <v>900</v>
      </c>
      <c r="E275" s="423">
        <v>255.7</v>
      </c>
    </row>
    <row r="276" spans="1:5" ht="15.75">
      <c r="A276" s="413" t="s">
        <v>204</v>
      </c>
      <c r="B276" s="416" t="s">
        <v>373</v>
      </c>
      <c r="C276" s="416" t="s">
        <v>319</v>
      </c>
      <c r="D276" s="423">
        <v>9450</v>
      </c>
      <c r="E276" s="423">
        <v>8133.61</v>
      </c>
    </row>
    <row r="277" spans="1:5" ht="15.75">
      <c r="A277" s="413" t="s">
        <v>204</v>
      </c>
      <c r="B277" s="416" t="s">
        <v>373</v>
      </c>
      <c r="C277" s="416" t="s">
        <v>344</v>
      </c>
      <c r="D277" s="423">
        <v>700</v>
      </c>
      <c r="E277" s="423">
        <v>654.23</v>
      </c>
    </row>
    <row r="278" spans="1:5" ht="15.75">
      <c r="A278" s="413" t="s">
        <v>204</v>
      </c>
      <c r="B278" s="416" t="s">
        <v>373</v>
      </c>
      <c r="C278" s="416" t="s">
        <v>346</v>
      </c>
      <c r="D278" s="423">
        <v>3240</v>
      </c>
      <c r="E278" s="423">
        <v>2094.06</v>
      </c>
    </row>
    <row r="279" spans="1:5" ht="15.75">
      <c r="A279" s="413" t="s">
        <v>204</v>
      </c>
      <c r="B279" s="416" t="s">
        <v>373</v>
      </c>
      <c r="C279" s="416" t="s">
        <v>330</v>
      </c>
      <c r="D279" s="423">
        <v>450</v>
      </c>
      <c r="E279" s="423">
        <v>57.79</v>
      </c>
    </row>
    <row r="280" spans="1:5" ht="15.75">
      <c r="A280" s="413" t="s">
        <v>204</v>
      </c>
      <c r="B280" s="416" t="s">
        <v>373</v>
      </c>
      <c r="C280" s="416" t="s">
        <v>347</v>
      </c>
      <c r="D280" s="423">
        <v>23226</v>
      </c>
      <c r="E280" s="423">
        <v>23090.99</v>
      </c>
    </row>
    <row r="281" spans="1:5" ht="15.75">
      <c r="A281" s="413" t="s">
        <v>204</v>
      </c>
      <c r="B281" s="416" t="s">
        <v>373</v>
      </c>
      <c r="C281" s="416" t="s">
        <v>389</v>
      </c>
      <c r="D281" s="423">
        <v>45</v>
      </c>
      <c r="E281" s="423">
        <v>45</v>
      </c>
    </row>
    <row r="282" spans="1:5" ht="15.75">
      <c r="A282" s="413" t="s">
        <v>204</v>
      </c>
      <c r="B282" s="416" t="s">
        <v>373</v>
      </c>
      <c r="C282" s="416" t="s">
        <v>348</v>
      </c>
      <c r="D282" s="423">
        <v>900</v>
      </c>
      <c r="E282" s="423">
        <v>44.94</v>
      </c>
    </row>
    <row r="283" spans="1:5" ht="15.75">
      <c r="A283" s="413" t="s">
        <v>204</v>
      </c>
      <c r="B283" s="416" t="s">
        <v>373</v>
      </c>
      <c r="C283" s="416" t="s">
        <v>321</v>
      </c>
      <c r="D283" s="423">
        <v>1400</v>
      </c>
      <c r="E283" s="423">
        <v>0</v>
      </c>
    </row>
    <row r="285" spans="1:5" ht="15.75">
      <c r="A285" s="428" t="s">
        <v>204</v>
      </c>
      <c r="B285" s="429" t="s">
        <v>374</v>
      </c>
      <c r="C285" s="429" t="s">
        <v>375</v>
      </c>
      <c r="D285" s="430">
        <v>1322107.34</v>
      </c>
      <c r="E285" s="430">
        <v>1241731.14</v>
      </c>
    </row>
    <row r="286" spans="1:7" ht="15.75">
      <c r="A286" s="421" t="s">
        <v>204</v>
      </c>
      <c r="B286" s="422" t="s">
        <v>374</v>
      </c>
      <c r="C286" s="422" t="s">
        <v>333</v>
      </c>
      <c r="D286" s="426">
        <v>1420000</v>
      </c>
      <c r="E286" s="426">
        <v>1090433.04</v>
      </c>
      <c r="F286" s="426">
        <f>D286+D287</f>
        <v>1427000</v>
      </c>
      <c r="G286" s="426">
        <f>E286+E287</f>
        <v>1096903.32</v>
      </c>
    </row>
    <row r="287" spans="1:5" ht="15.75">
      <c r="A287" s="421" t="s">
        <v>204</v>
      </c>
      <c r="B287" s="422" t="s">
        <v>374</v>
      </c>
      <c r="C287" s="422" t="s">
        <v>361</v>
      </c>
      <c r="D287" s="426">
        <v>7000</v>
      </c>
      <c r="E287" s="426">
        <v>6470.28</v>
      </c>
    </row>
    <row r="288" spans="1:5" ht="15.75">
      <c r="A288" s="419"/>
      <c r="B288" s="420"/>
      <c r="C288" s="420"/>
      <c r="D288" s="425"/>
      <c r="E288" s="425"/>
    </row>
    <row r="289" spans="1:5" ht="15.75">
      <c r="A289" s="413" t="s">
        <v>204</v>
      </c>
      <c r="B289" s="416" t="s">
        <v>271</v>
      </c>
      <c r="C289" s="416" t="s">
        <v>322</v>
      </c>
      <c r="D289" s="423">
        <v>49779</v>
      </c>
      <c r="E289" s="423">
        <v>47807.92</v>
      </c>
    </row>
    <row r="290" spans="1:7" ht="15.75">
      <c r="A290" s="417" t="s">
        <v>204</v>
      </c>
      <c r="B290" s="418" t="s">
        <v>271</v>
      </c>
      <c r="C290" s="418" t="s">
        <v>323</v>
      </c>
      <c r="D290" s="424">
        <v>2500758</v>
      </c>
      <c r="E290" s="424">
        <v>2494199.22</v>
      </c>
      <c r="F290" s="424">
        <f>SUM(D290:D295)</f>
        <v>3167694</v>
      </c>
      <c r="G290" s="424">
        <f>SUM(E290:E295)</f>
        <v>3139941.4700000007</v>
      </c>
    </row>
    <row r="291" spans="1:8" ht="15.75">
      <c r="A291" s="417" t="s">
        <v>204</v>
      </c>
      <c r="B291" s="418" t="s">
        <v>271</v>
      </c>
      <c r="C291" s="418" t="s">
        <v>323</v>
      </c>
      <c r="D291" s="424">
        <v>14000</v>
      </c>
      <c r="E291" s="424">
        <v>0</v>
      </c>
      <c r="F291" s="423">
        <f>D289+SUM(D296:D308)</f>
        <v>514455.01</v>
      </c>
      <c r="G291" s="423">
        <f>E289+SUM(E296:E308)</f>
        <v>506026.99000000005</v>
      </c>
      <c r="H291" s="414"/>
    </row>
    <row r="292" spans="1:5" ht="15.75">
      <c r="A292" s="417" t="s">
        <v>204</v>
      </c>
      <c r="B292" s="418" t="s">
        <v>271</v>
      </c>
      <c r="C292" s="418" t="s">
        <v>324</v>
      </c>
      <c r="D292" s="424">
        <v>182929</v>
      </c>
      <c r="E292" s="424">
        <v>182165.47</v>
      </c>
    </row>
    <row r="293" spans="1:5" ht="15.75">
      <c r="A293" s="417" t="s">
        <v>204</v>
      </c>
      <c r="B293" s="418" t="s">
        <v>271</v>
      </c>
      <c r="C293" s="418" t="s">
        <v>325</v>
      </c>
      <c r="D293" s="424">
        <v>401986</v>
      </c>
      <c r="E293" s="424">
        <v>398214.93</v>
      </c>
    </row>
    <row r="294" spans="1:5" ht="15.75">
      <c r="A294" s="417" t="s">
        <v>204</v>
      </c>
      <c r="B294" s="418" t="s">
        <v>271</v>
      </c>
      <c r="C294" s="418" t="s">
        <v>326</v>
      </c>
      <c r="D294" s="424">
        <v>66321</v>
      </c>
      <c r="E294" s="424">
        <v>63702.85</v>
      </c>
    </row>
    <row r="295" spans="1:5" ht="15.75">
      <c r="A295" s="417" t="s">
        <v>204</v>
      </c>
      <c r="B295" s="418" t="s">
        <v>271</v>
      </c>
      <c r="C295" s="418" t="s">
        <v>327</v>
      </c>
      <c r="D295" s="424">
        <v>1700</v>
      </c>
      <c r="E295" s="424">
        <v>1659</v>
      </c>
    </row>
    <row r="296" spans="1:5" ht="15.75">
      <c r="A296" s="413" t="s">
        <v>204</v>
      </c>
      <c r="B296" s="416" t="s">
        <v>271</v>
      </c>
      <c r="C296" s="416" t="s">
        <v>328</v>
      </c>
      <c r="D296" s="423">
        <v>52548</v>
      </c>
      <c r="E296" s="423">
        <v>52250.11</v>
      </c>
    </row>
    <row r="297" spans="1:5" ht="15.75">
      <c r="A297" s="413" t="s">
        <v>204</v>
      </c>
      <c r="B297" s="416" t="s">
        <v>271</v>
      </c>
      <c r="C297" s="416" t="s">
        <v>370</v>
      </c>
      <c r="D297" s="423">
        <v>4563</v>
      </c>
      <c r="E297" s="423">
        <v>4138.24</v>
      </c>
    </row>
    <row r="298" spans="1:5" ht="15.75">
      <c r="A298" s="413" t="s">
        <v>204</v>
      </c>
      <c r="B298" s="416" t="s">
        <v>271</v>
      </c>
      <c r="C298" s="416" t="s">
        <v>337</v>
      </c>
      <c r="D298" s="423">
        <v>142006</v>
      </c>
      <c r="E298" s="423">
        <v>141631.53</v>
      </c>
    </row>
    <row r="299" spans="1:5" ht="15.75">
      <c r="A299" s="413" t="s">
        <v>204</v>
      </c>
      <c r="B299" s="416" t="s">
        <v>271</v>
      </c>
      <c r="C299" s="416" t="s">
        <v>329</v>
      </c>
      <c r="D299" s="423">
        <v>3831</v>
      </c>
      <c r="E299" s="423">
        <v>3519.1</v>
      </c>
    </row>
    <row r="300" spans="1:5" ht="15.75">
      <c r="A300" s="413" t="s">
        <v>204</v>
      </c>
      <c r="B300" s="416" t="s">
        <v>271</v>
      </c>
      <c r="C300" s="416" t="s">
        <v>319</v>
      </c>
      <c r="D300" s="423">
        <v>77656</v>
      </c>
      <c r="E300" s="423">
        <v>75633.31</v>
      </c>
    </row>
    <row r="301" spans="1:5" ht="15.75">
      <c r="A301" s="413" t="s">
        <v>204</v>
      </c>
      <c r="B301" s="416" t="s">
        <v>271</v>
      </c>
      <c r="C301" s="416" t="s">
        <v>344</v>
      </c>
      <c r="D301" s="423">
        <v>4500</v>
      </c>
      <c r="E301" s="423">
        <v>3941.31</v>
      </c>
    </row>
    <row r="302" spans="1:5" ht="15.75">
      <c r="A302" s="413" t="s">
        <v>204</v>
      </c>
      <c r="B302" s="416" t="s">
        <v>271</v>
      </c>
      <c r="C302" s="416" t="s">
        <v>346</v>
      </c>
      <c r="D302" s="423">
        <v>6691</v>
      </c>
      <c r="E302" s="423">
        <v>6342.54</v>
      </c>
    </row>
    <row r="303" spans="1:5" ht="15.75">
      <c r="A303" s="413" t="s">
        <v>204</v>
      </c>
      <c r="B303" s="416" t="s">
        <v>271</v>
      </c>
      <c r="C303" s="416" t="s">
        <v>330</v>
      </c>
      <c r="D303" s="423">
        <v>5696</v>
      </c>
      <c r="E303" s="423">
        <v>5308.68</v>
      </c>
    </row>
    <row r="304" spans="1:5" ht="15.75">
      <c r="A304" s="413" t="s">
        <v>204</v>
      </c>
      <c r="B304" s="416" t="s">
        <v>271</v>
      </c>
      <c r="C304" s="416" t="s">
        <v>320</v>
      </c>
      <c r="D304" s="423">
        <v>1400</v>
      </c>
      <c r="E304" s="423">
        <v>289</v>
      </c>
    </row>
    <row r="305" spans="1:5" ht="15.75">
      <c r="A305" s="413" t="s">
        <v>204</v>
      </c>
      <c r="B305" s="416" t="s">
        <v>271</v>
      </c>
      <c r="C305" s="416" t="s">
        <v>347</v>
      </c>
      <c r="D305" s="423">
        <v>161441.01</v>
      </c>
      <c r="E305" s="423">
        <v>161310.22</v>
      </c>
    </row>
    <row r="306" spans="1:5" ht="15.75">
      <c r="A306" s="413" t="s">
        <v>204</v>
      </c>
      <c r="B306" s="416" t="s">
        <v>271</v>
      </c>
      <c r="C306" s="416" t="s">
        <v>389</v>
      </c>
      <c r="D306" s="423">
        <v>1200</v>
      </c>
      <c r="E306" s="423">
        <v>1124</v>
      </c>
    </row>
    <row r="307" spans="1:5" ht="15.75">
      <c r="A307" s="413" t="s">
        <v>204</v>
      </c>
      <c r="B307" s="416" t="s">
        <v>271</v>
      </c>
      <c r="C307" s="416" t="s">
        <v>348</v>
      </c>
      <c r="D307" s="423">
        <v>750</v>
      </c>
      <c r="E307" s="423">
        <v>418.44</v>
      </c>
    </row>
    <row r="308" spans="1:5" ht="15.75">
      <c r="A308" s="413" t="s">
        <v>204</v>
      </c>
      <c r="B308" s="416" t="s">
        <v>271</v>
      </c>
      <c r="C308" s="416" t="s">
        <v>321</v>
      </c>
      <c r="D308" s="423">
        <v>2394</v>
      </c>
      <c r="E308" s="423">
        <v>2312.59</v>
      </c>
    </row>
    <row r="310" spans="1:5" ht="15.75">
      <c r="A310" s="413" t="s">
        <v>204</v>
      </c>
      <c r="B310" s="416" t="s">
        <v>376</v>
      </c>
      <c r="C310" s="416" t="s">
        <v>322</v>
      </c>
      <c r="D310" s="423">
        <v>280</v>
      </c>
      <c r="E310" s="423">
        <v>40</v>
      </c>
    </row>
    <row r="311" spans="1:7" ht="15.75">
      <c r="A311" s="417" t="s">
        <v>204</v>
      </c>
      <c r="B311" s="418" t="s">
        <v>376</v>
      </c>
      <c r="C311" s="418" t="s">
        <v>323</v>
      </c>
      <c r="D311" s="424">
        <v>37900</v>
      </c>
      <c r="E311" s="424">
        <v>36338.83</v>
      </c>
      <c r="F311" s="424">
        <f>SUM(D311:D318)</f>
        <v>50660</v>
      </c>
      <c r="G311" s="424">
        <f>SUM(E311:E318)</f>
        <v>47889.15000000001</v>
      </c>
    </row>
    <row r="312" spans="1:7" ht="15.75">
      <c r="A312" s="417" t="s">
        <v>204</v>
      </c>
      <c r="B312" s="418" t="s">
        <v>376</v>
      </c>
      <c r="C312" s="418" t="s">
        <v>324</v>
      </c>
      <c r="D312" s="424">
        <v>3300</v>
      </c>
      <c r="E312" s="424">
        <v>3208.64</v>
      </c>
      <c r="F312" s="423">
        <f>D310+SUM(D319:D325)</f>
        <v>381369</v>
      </c>
      <c r="G312" s="423">
        <f>E310+SUM(E319:E325)</f>
        <v>369231.98000000004</v>
      </c>
    </row>
    <row r="313" spans="1:5" ht="15.75">
      <c r="A313" s="417" t="s">
        <v>204</v>
      </c>
      <c r="B313" s="418" t="s">
        <v>376</v>
      </c>
      <c r="C313" s="418" t="s">
        <v>325</v>
      </c>
      <c r="D313" s="424">
        <v>5500</v>
      </c>
      <c r="E313" s="424">
        <v>4947.26</v>
      </c>
    </row>
    <row r="314" spans="1:8" ht="15.75">
      <c r="A314" s="417" t="s">
        <v>204</v>
      </c>
      <c r="B314" s="418" t="s">
        <v>376</v>
      </c>
      <c r="C314" s="418" t="s">
        <v>325</v>
      </c>
      <c r="D314" s="424">
        <v>0</v>
      </c>
      <c r="E314" s="424">
        <v>0</v>
      </c>
      <c r="H314" s="414"/>
    </row>
    <row r="315" spans="1:5" ht="15.75">
      <c r="A315" s="417" t="s">
        <v>204</v>
      </c>
      <c r="B315" s="418" t="s">
        <v>376</v>
      </c>
      <c r="C315" s="418" t="s">
        <v>326</v>
      </c>
      <c r="D315" s="424">
        <v>400</v>
      </c>
      <c r="E315" s="424">
        <v>0</v>
      </c>
    </row>
    <row r="316" spans="1:8" ht="15.75">
      <c r="A316" s="417" t="s">
        <v>204</v>
      </c>
      <c r="B316" s="418" t="s">
        <v>376</v>
      </c>
      <c r="C316" s="418" t="s">
        <v>326</v>
      </c>
      <c r="D316" s="424">
        <v>800</v>
      </c>
      <c r="E316" s="424">
        <v>677.36</v>
      </c>
      <c r="H316" s="414"/>
    </row>
    <row r="317" spans="1:5" ht="15.75">
      <c r="A317" s="417" t="s">
        <v>204</v>
      </c>
      <c r="B317" s="418" t="s">
        <v>376</v>
      </c>
      <c r="C317" s="418" t="s">
        <v>327</v>
      </c>
      <c r="D317" s="424">
        <v>1760</v>
      </c>
      <c r="E317" s="424">
        <v>1740.66</v>
      </c>
    </row>
    <row r="318" spans="1:8" ht="15.75">
      <c r="A318" s="417" t="s">
        <v>204</v>
      </c>
      <c r="B318" s="418" t="s">
        <v>376</v>
      </c>
      <c r="C318" s="418" t="s">
        <v>327</v>
      </c>
      <c r="D318" s="424">
        <v>1000</v>
      </c>
      <c r="E318" s="424">
        <v>976.4</v>
      </c>
      <c r="H318" s="414"/>
    </row>
    <row r="319" spans="1:5" ht="15.75">
      <c r="A319" s="413" t="s">
        <v>204</v>
      </c>
      <c r="B319" s="416" t="s">
        <v>376</v>
      </c>
      <c r="C319" s="416" t="s">
        <v>328</v>
      </c>
      <c r="D319" s="423">
        <v>45350</v>
      </c>
      <c r="E319" s="423">
        <v>45348.6</v>
      </c>
    </row>
    <row r="320" spans="1:8" ht="15.75">
      <c r="A320" s="413" t="s">
        <v>204</v>
      </c>
      <c r="B320" s="416" t="s">
        <v>376</v>
      </c>
      <c r="C320" s="416" t="s">
        <v>328</v>
      </c>
      <c r="D320" s="423">
        <v>7000</v>
      </c>
      <c r="E320" s="423">
        <v>0</v>
      </c>
      <c r="H320" s="414"/>
    </row>
    <row r="321" spans="1:5" ht="15.75">
      <c r="A321" s="413" t="s">
        <v>204</v>
      </c>
      <c r="B321" s="416" t="s">
        <v>376</v>
      </c>
      <c r="C321" s="416" t="s">
        <v>329</v>
      </c>
      <c r="D321" s="423">
        <v>30</v>
      </c>
      <c r="E321" s="423">
        <v>30</v>
      </c>
    </row>
    <row r="322" spans="1:5" ht="15.75">
      <c r="A322" s="413" t="s">
        <v>204</v>
      </c>
      <c r="B322" s="416" t="s">
        <v>376</v>
      </c>
      <c r="C322" s="416" t="s">
        <v>319</v>
      </c>
      <c r="D322" s="423">
        <v>19500</v>
      </c>
      <c r="E322" s="423">
        <v>17940.61</v>
      </c>
    </row>
    <row r="323" spans="1:8" ht="15.75">
      <c r="A323" s="413" t="s">
        <v>204</v>
      </c>
      <c r="B323" s="416" t="s">
        <v>376</v>
      </c>
      <c r="C323" s="416" t="s">
        <v>319</v>
      </c>
      <c r="D323" s="423">
        <v>307909</v>
      </c>
      <c r="E323" s="423">
        <v>304681.07</v>
      </c>
      <c r="H323" s="414"/>
    </row>
    <row r="324" spans="1:5" ht="15.75">
      <c r="A324" s="413" t="s">
        <v>204</v>
      </c>
      <c r="B324" s="416" t="s">
        <v>376</v>
      </c>
      <c r="C324" s="416" t="s">
        <v>330</v>
      </c>
      <c r="D324" s="423">
        <v>100</v>
      </c>
      <c r="E324" s="423">
        <v>43.7</v>
      </c>
    </row>
    <row r="325" spans="1:5" ht="15.75">
      <c r="A325" s="413" t="s">
        <v>204</v>
      </c>
      <c r="B325" s="416" t="s">
        <v>376</v>
      </c>
      <c r="C325" s="416" t="s">
        <v>320</v>
      </c>
      <c r="D325" s="423">
        <v>1200</v>
      </c>
      <c r="E325" s="423">
        <v>1148</v>
      </c>
    </row>
    <row r="327" spans="1:7" ht="15.75">
      <c r="A327" s="417" t="s">
        <v>204</v>
      </c>
      <c r="B327" s="418" t="s">
        <v>377</v>
      </c>
      <c r="C327" s="418" t="s">
        <v>323</v>
      </c>
      <c r="D327" s="424">
        <v>2917</v>
      </c>
      <c r="E327" s="424">
        <v>0</v>
      </c>
      <c r="F327" s="424">
        <f>SUM(D327:D335)</f>
        <v>18327</v>
      </c>
      <c r="G327" s="424">
        <f>SUM(E327:E335)</f>
        <v>14693.539999999999</v>
      </c>
    </row>
    <row r="328" spans="1:8" ht="15.75">
      <c r="A328" s="417" t="s">
        <v>204</v>
      </c>
      <c r="B328" s="418" t="s">
        <v>377</v>
      </c>
      <c r="C328" s="418" t="s">
        <v>323</v>
      </c>
      <c r="D328" s="424">
        <v>9907</v>
      </c>
      <c r="E328" s="424">
        <v>9906.09</v>
      </c>
      <c r="F328" s="423">
        <f>SUM(D336:D343)</f>
        <v>57433</v>
      </c>
      <c r="G328" s="423">
        <f>SUM(E336:E343)</f>
        <v>42904.61</v>
      </c>
      <c r="H328" s="414"/>
    </row>
    <row r="329" spans="1:5" ht="15.75">
      <c r="A329" s="417" t="s">
        <v>204</v>
      </c>
      <c r="B329" s="418" t="s">
        <v>377</v>
      </c>
      <c r="C329" s="418" t="s">
        <v>324</v>
      </c>
      <c r="D329" s="424">
        <v>1144</v>
      </c>
      <c r="E329" s="424">
        <v>1143.64</v>
      </c>
    </row>
    <row r="330" spans="1:5" ht="15.75">
      <c r="A330" s="417" t="s">
        <v>204</v>
      </c>
      <c r="B330" s="418" t="s">
        <v>377</v>
      </c>
      <c r="C330" s="418" t="s">
        <v>325</v>
      </c>
      <c r="D330" s="424">
        <v>616</v>
      </c>
      <c r="E330" s="424">
        <v>0</v>
      </c>
    </row>
    <row r="331" spans="1:8" ht="15.75">
      <c r="A331" s="417" t="s">
        <v>204</v>
      </c>
      <c r="B331" s="418" t="s">
        <v>377</v>
      </c>
      <c r="C331" s="418" t="s">
        <v>325</v>
      </c>
      <c r="D331" s="424">
        <v>1859</v>
      </c>
      <c r="E331" s="424">
        <v>1858.06</v>
      </c>
      <c r="H331" s="414"/>
    </row>
    <row r="332" spans="1:5" ht="15.75">
      <c r="A332" s="417" t="s">
        <v>204</v>
      </c>
      <c r="B332" s="418" t="s">
        <v>377</v>
      </c>
      <c r="C332" s="418" t="s">
        <v>326</v>
      </c>
      <c r="D332" s="424">
        <v>97</v>
      </c>
      <c r="E332" s="424">
        <v>0</v>
      </c>
    </row>
    <row r="333" spans="1:8" ht="15.75">
      <c r="A333" s="417" t="s">
        <v>204</v>
      </c>
      <c r="B333" s="418" t="s">
        <v>377</v>
      </c>
      <c r="C333" s="418" t="s">
        <v>326</v>
      </c>
      <c r="D333" s="424">
        <v>301</v>
      </c>
      <c r="E333" s="424">
        <v>300.36</v>
      </c>
      <c r="H333" s="414"/>
    </row>
    <row r="334" spans="1:5" ht="15.75">
      <c r="A334" s="417" t="s">
        <v>204</v>
      </c>
      <c r="B334" s="418" t="s">
        <v>377</v>
      </c>
      <c r="C334" s="418" t="s">
        <v>327</v>
      </c>
      <c r="D334" s="424">
        <v>536</v>
      </c>
      <c r="E334" s="424">
        <v>535.39</v>
      </c>
    </row>
    <row r="335" spans="1:8" ht="15.75">
      <c r="A335" s="417" t="s">
        <v>204</v>
      </c>
      <c r="B335" s="418" t="s">
        <v>377</v>
      </c>
      <c r="C335" s="418" t="s">
        <v>327</v>
      </c>
      <c r="D335" s="424">
        <v>950</v>
      </c>
      <c r="E335" s="424">
        <v>950</v>
      </c>
      <c r="H335" s="414"/>
    </row>
    <row r="336" spans="1:5" ht="15.75">
      <c r="A336" s="413" t="s">
        <v>204</v>
      </c>
      <c r="B336" s="416" t="s">
        <v>377</v>
      </c>
      <c r="C336" s="416" t="s">
        <v>328</v>
      </c>
      <c r="D336" s="423">
        <v>200</v>
      </c>
      <c r="E336" s="423">
        <v>199.99</v>
      </c>
    </row>
    <row r="337" spans="1:8" ht="15.75">
      <c r="A337" s="413" t="s">
        <v>204</v>
      </c>
      <c r="B337" s="416" t="s">
        <v>377</v>
      </c>
      <c r="C337" s="416" t="s">
        <v>328</v>
      </c>
      <c r="D337" s="423">
        <v>4000</v>
      </c>
      <c r="E337" s="423">
        <v>3553.44</v>
      </c>
      <c r="H337" s="414"/>
    </row>
    <row r="338" spans="1:5" ht="15.75">
      <c r="A338" s="413" t="s">
        <v>204</v>
      </c>
      <c r="B338" s="416" t="s">
        <v>377</v>
      </c>
      <c r="C338" s="416" t="s">
        <v>319</v>
      </c>
      <c r="D338" s="423">
        <v>18503</v>
      </c>
      <c r="E338" s="423">
        <v>9300</v>
      </c>
    </row>
    <row r="339" spans="1:8" ht="15.75">
      <c r="A339" s="413" t="s">
        <v>204</v>
      </c>
      <c r="B339" s="416" t="s">
        <v>377</v>
      </c>
      <c r="C339" s="416" t="s">
        <v>319</v>
      </c>
      <c r="D339" s="423">
        <v>23913</v>
      </c>
      <c r="E339" s="423">
        <v>23415.82</v>
      </c>
      <c r="H339" s="414"/>
    </row>
    <row r="340" spans="1:5" ht="15.75">
      <c r="A340" s="413" t="s">
        <v>204</v>
      </c>
      <c r="B340" s="416" t="s">
        <v>377</v>
      </c>
      <c r="C340" s="416" t="s">
        <v>330</v>
      </c>
      <c r="D340" s="423">
        <v>2000</v>
      </c>
      <c r="E340" s="423">
        <v>0</v>
      </c>
    </row>
    <row r="341" spans="1:8" ht="15.75">
      <c r="A341" s="413" t="s">
        <v>204</v>
      </c>
      <c r="B341" s="416" t="s">
        <v>377</v>
      </c>
      <c r="C341" s="416" t="s">
        <v>330</v>
      </c>
      <c r="D341" s="423">
        <v>8007</v>
      </c>
      <c r="E341" s="423">
        <v>5625.36</v>
      </c>
      <c r="H341" s="414"/>
    </row>
    <row r="342" spans="1:5" ht="15.75">
      <c r="A342" s="413" t="s">
        <v>204</v>
      </c>
      <c r="B342" s="416" t="s">
        <v>377</v>
      </c>
      <c r="C342" s="416" t="s">
        <v>389</v>
      </c>
      <c r="D342" s="423">
        <v>110</v>
      </c>
      <c r="E342" s="423">
        <v>110</v>
      </c>
    </row>
    <row r="343" spans="1:8" ht="15.75">
      <c r="A343" s="413" t="s">
        <v>204</v>
      </c>
      <c r="B343" s="416" t="s">
        <v>377</v>
      </c>
      <c r="C343" s="416" t="s">
        <v>389</v>
      </c>
      <c r="D343" s="423">
        <v>700</v>
      </c>
      <c r="E343" s="423">
        <v>700</v>
      </c>
      <c r="H343" s="414"/>
    </row>
    <row r="344" ht="15.75">
      <c r="H344" s="414"/>
    </row>
    <row r="345" spans="1:5" ht="15.75">
      <c r="A345" s="413" t="s">
        <v>204</v>
      </c>
      <c r="B345" s="416" t="s">
        <v>448</v>
      </c>
      <c r="C345" s="416" t="s">
        <v>322</v>
      </c>
      <c r="D345" s="423">
        <v>2213</v>
      </c>
      <c r="E345" s="423">
        <v>2202.44</v>
      </c>
    </row>
    <row r="346" spans="1:7" ht="15.75">
      <c r="A346" s="417" t="s">
        <v>204</v>
      </c>
      <c r="B346" s="418" t="s">
        <v>448</v>
      </c>
      <c r="C346" s="418" t="s">
        <v>323</v>
      </c>
      <c r="D346" s="424">
        <v>325014</v>
      </c>
      <c r="E346" s="424">
        <v>324854.58</v>
      </c>
      <c r="F346" s="424">
        <f>SUM(D346:D350)</f>
        <v>413352</v>
      </c>
      <c r="G346" s="424">
        <f>SUM(E346:E350)</f>
        <v>409982.72000000003</v>
      </c>
    </row>
    <row r="347" spans="1:7" ht="15.75">
      <c r="A347" s="417" t="s">
        <v>204</v>
      </c>
      <c r="B347" s="418" t="s">
        <v>448</v>
      </c>
      <c r="C347" s="418" t="s">
        <v>324</v>
      </c>
      <c r="D347" s="424">
        <v>26167</v>
      </c>
      <c r="E347" s="424">
        <v>24803.71</v>
      </c>
      <c r="F347" s="423">
        <f>D345+SUM(D351:D357)</f>
        <v>102882</v>
      </c>
      <c r="G347" s="423">
        <f>E345+SUM(E351:E357)</f>
        <v>96850.19</v>
      </c>
    </row>
    <row r="348" spans="1:5" ht="15.75">
      <c r="A348" s="417" t="s">
        <v>204</v>
      </c>
      <c r="B348" s="418" t="s">
        <v>448</v>
      </c>
      <c r="C348" s="418" t="s">
        <v>325</v>
      </c>
      <c r="D348" s="424">
        <v>53162</v>
      </c>
      <c r="E348" s="424">
        <v>51720.25</v>
      </c>
    </row>
    <row r="349" spans="1:5" ht="15.75">
      <c r="A349" s="417" t="s">
        <v>204</v>
      </c>
      <c r="B349" s="418" t="s">
        <v>448</v>
      </c>
      <c r="C349" s="418" t="s">
        <v>326</v>
      </c>
      <c r="D349" s="424">
        <v>8759</v>
      </c>
      <c r="E349" s="424">
        <v>8364.18</v>
      </c>
    </row>
    <row r="350" spans="1:5" ht="15.75">
      <c r="A350" s="417" t="s">
        <v>204</v>
      </c>
      <c r="B350" s="418" t="s">
        <v>448</v>
      </c>
      <c r="C350" s="418" t="s">
        <v>327</v>
      </c>
      <c r="D350" s="424">
        <v>250</v>
      </c>
      <c r="E350" s="424">
        <v>240</v>
      </c>
    </row>
    <row r="351" spans="1:5" ht="15.75">
      <c r="A351" s="413" t="s">
        <v>204</v>
      </c>
      <c r="B351" s="416" t="s">
        <v>448</v>
      </c>
      <c r="C351" s="416" t="s">
        <v>328</v>
      </c>
      <c r="D351" s="423">
        <v>32576</v>
      </c>
      <c r="E351" s="423">
        <v>28696.23</v>
      </c>
    </row>
    <row r="352" spans="1:5" ht="15.75">
      <c r="A352" s="413" t="s">
        <v>204</v>
      </c>
      <c r="B352" s="416" t="s">
        <v>448</v>
      </c>
      <c r="C352" s="416" t="s">
        <v>337</v>
      </c>
      <c r="D352" s="423">
        <v>37947</v>
      </c>
      <c r="E352" s="423">
        <v>37779.59</v>
      </c>
    </row>
    <row r="353" spans="1:5" ht="15.75">
      <c r="A353" s="413" t="s">
        <v>204</v>
      </c>
      <c r="B353" s="416" t="s">
        <v>448</v>
      </c>
      <c r="C353" s="416" t="s">
        <v>329</v>
      </c>
      <c r="D353" s="423">
        <v>1708</v>
      </c>
      <c r="E353" s="423">
        <v>973</v>
      </c>
    </row>
    <row r="354" spans="1:5" ht="15.75">
      <c r="A354" s="413" t="s">
        <v>204</v>
      </c>
      <c r="B354" s="416" t="s">
        <v>448</v>
      </c>
      <c r="C354" s="416" t="s">
        <v>319</v>
      </c>
      <c r="D354" s="423">
        <v>9332</v>
      </c>
      <c r="E354" s="423">
        <v>8609.46</v>
      </c>
    </row>
    <row r="355" spans="1:5" ht="15.75">
      <c r="A355" s="413" t="s">
        <v>204</v>
      </c>
      <c r="B355" s="416" t="s">
        <v>448</v>
      </c>
      <c r="C355" s="416" t="s">
        <v>330</v>
      </c>
      <c r="D355" s="423">
        <v>1710</v>
      </c>
      <c r="E355" s="423">
        <v>1703.8</v>
      </c>
    </row>
    <row r="356" spans="1:5" ht="15.75">
      <c r="A356" s="413" t="s">
        <v>204</v>
      </c>
      <c r="B356" s="416" t="s">
        <v>448</v>
      </c>
      <c r="C356" s="416" t="s">
        <v>347</v>
      </c>
      <c r="D356" s="423">
        <v>17351</v>
      </c>
      <c r="E356" s="423">
        <v>16840.67</v>
      </c>
    </row>
    <row r="357" spans="1:5" ht="15.75">
      <c r="A357" s="413" t="s">
        <v>204</v>
      </c>
      <c r="B357" s="416" t="s">
        <v>448</v>
      </c>
      <c r="C357" s="416" t="s">
        <v>389</v>
      </c>
      <c r="D357" s="423">
        <v>45</v>
      </c>
      <c r="E357" s="423">
        <v>45</v>
      </c>
    </row>
    <row r="359" spans="1:7" ht="15.75">
      <c r="A359" s="428" t="s">
        <v>204</v>
      </c>
      <c r="B359" s="429" t="s">
        <v>262</v>
      </c>
      <c r="C359" s="429" t="s">
        <v>491</v>
      </c>
      <c r="D359" s="430">
        <v>37329.59</v>
      </c>
      <c r="E359" s="430">
        <v>37269.44</v>
      </c>
      <c r="F359" s="430">
        <f>D359+D360</f>
        <v>43558.42</v>
      </c>
      <c r="G359" s="430">
        <f>E359+E360</f>
        <v>43488.37</v>
      </c>
    </row>
    <row r="360" spans="1:5" ht="15.75">
      <c r="A360" s="428" t="s">
        <v>204</v>
      </c>
      <c r="B360" s="429" t="s">
        <v>262</v>
      </c>
      <c r="C360" s="429" t="s">
        <v>492</v>
      </c>
      <c r="D360" s="430">
        <v>6228.83</v>
      </c>
      <c r="E360" s="430">
        <v>6218.93</v>
      </c>
    </row>
    <row r="361" spans="1:5" ht="15.75">
      <c r="A361" s="419" t="s">
        <v>204</v>
      </c>
      <c r="B361" s="420" t="s">
        <v>262</v>
      </c>
      <c r="C361" s="420" t="s">
        <v>390</v>
      </c>
      <c r="D361" s="425">
        <v>413.95</v>
      </c>
      <c r="E361" s="425">
        <v>413.95</v>
      </c>
    </row>
    <row r="362" spans="1:7" ht="15.75">
      <c r="A362" s="417" t="s">
        <v>204</v>
      </c>
      <c r="B362" s="418" t="s">
        <v>262</v>
      </c>
      <c r="C362" s="418" t="s">
        <v>323</v>
      </c>
      <c r="D362" s="424">
        <v>200885</v>
      </c>
      <c r="E362" s="424">
        <v>200863.21</v>
      </c>
      <c r="F362" s="424">
        <f>SUM(D362:D381)</f>
        <v>1147800.7700000003</v>
      </c>
      <c r="G362" s="424">
        <f>SUM(E362:E381)</f>
        <v>1146036.1300000004</v>
      </c>
    </row>
    <row r="363" spans="1:8" ht="15.75">
      <c r="A363" s="417" t="s">
        <v>204</v>
      </c>
      <c r="B363" s="418" t="s">
        <v>262</v>
      </c>
      <c r="C363" s="418" t="s">
        <v>323</v>
      </c>
      <c r="D363" s="424">
        <v>680000</v>
      </c>
      <c r="E363" s="424">
        <v>679886.25</v>
      </c>
      <c r="F363" s="423">
        <f>SUM(D382:D412)+D361</f>
        <v>1144441.07</v>
      </c>
      <c r="G363" s="423">
        <f>SUM(E382:E412)+E361</f>
        <v>1141070.91</v>
      </c>
      <c r="H363" s="414"/>
    </row>
    <row r="364" spans="1:7" ht="15.75">
      <c r="A364" s="417" t="s">
        <v>204</v>
      </c>
      <c r="B364" s="418" t="s">
        <v>262</v>
      </c>
      <c r="C364" s="418" t="s">
        <v>324</v>
      </c>
      <c r="D364" s="424">
        <v>51000</v>
      </c>
      <c r="E364" s="424">
        <v>50236.04</v>
      </c>
      <c r="F364" s="426">
        <f>D413</f>
        <v>51500</v>
      </c>
      <c r="G364" s="426">
        <f>E413</f>
        <v>51495.22</v>
      </c>
    </row>
    <row r="365" spans="1:8" ht="15.75">
      <c r="A365" s="417" t="s">
        <v>204</v>
      </c>
      <c r="B365" s="418" t="s">
        <v>262</v>
      </c>
      <c r="C365" s="418" t="s">
        <v>324</v>
      </c>
      <c r="D365" s="424">
        <v>5960</v>
      </c>
      <c r="E365" s="424">
        <v>5951.1</v>
      </c>
      <c r="H365" s="414"/>
    </row>
    <row r="366" spans="1:5" ht="15.75">
      <c r="A366" s="417" t="s">
        <v>204</v>
      </c>
      <c r="B366" s="418" t="s">
        <v>262</v>
      </c>
      <c r="C366" s="418" t="s">
        <v>325</v>
      </c>
      <c r="D366" s="424">
        <v>112200</v>
      </c>
      <c r="E366" s="424">
        <v>111752.99</v>
      </c>
    </row>
    <row r="367" spans="1:5" ht="15.75">
      <c r="A367" s="417" t="s">
        <v>204</v>
      </c>
      <c r="B367" s="418" t="s">
        <v>262</v>
      </c>
      <c r="C367" s="418" t="s">
        <v>325</v>
      </c>
      <c r="D367" s="424">
        <v>23180</v>
      </c>
      <c r="E367" s="424">
        <v>23175.36</v>
      </c>
    </row>
    <row r="368" spans="1:8" ht="15.75">
      <c r="A368" s="417" t="s">
        <v>204</v>
      </c>
      <c r="B368" s="418" t="s">
        <v>262</v>
      </c>
      <c r="C368" s="418" t="s">
        <v>325</v>
      </c>
      <c r="D368" s="424">
        <v>76.01</v>
      </c>
      <c r="E368" s="424">
        <v>76.01</v>
      </c>
      <c r="H368" s="414"/>
    </row>
    <row r="369" spans="1:5" ht="15.75">
      <c r="A369" s="417" t="s">
        <v>204</v>
      </c>
      <c r="B369" s="418" t="s">
        <v>262</v>
      </c>
      <c r="C369" s="418" t="s">
        <v>384</v>
      </c>
      <c r="D369" s="424">
        <v>4293.06</v>
      </c>
      <c r="E369" s="424">
        <v>4261.79</v>
      </c>
    </row>
    <row r="370" spans="1:5" ht="15.75">
      <c r="A370" s="417" t="s">
        <v>204</v>
      </c>
      <c r="B370" s="418" t="s">
        <v>262</v>
      </c>
      <c r="C370" s="418" t="s">
        <v>493</v>
      </c>
      <c r="D370" s="424">
        <v>673.81</v>
      </c>
      <c r="E370" s="424">
        <v>669.15</v>
      </c>
    </row>
    <row r="371" spans="1:5" ht="15.75">
      <c r="A371" s="417" t="s">
        <v>204</v>
      </c>
      <c r="B371" s="418" t="s">
        <v>262</v>
      </c>
      <c r="C371" s="418" t="s">
        <v>326</v>
      </c>
      <c r="D371" s="424">
        <v>17400</v>
      </c>
      <c r="E371" s="424">
        <v>17356.36</v>
      </c>
    </row>
    <row r="372" spans="1:5" ht="15.75">
      <c r="A372" s="417" t="s">
        <v>204</v>
      </c>
      <c r="B372" s="418" t="s">
        <v>262</v>
      </c>
      <c r="C372" s="418" t="s">
        <v>326</v>
      </c>
      <c r="D372" s="424">
        <v>4625</v>
      </c>
      <c r="E372" s="424">
        <v>4624.48</v>
      </c>
    </row>
    <row r="373" spans="1:8" ht="15.75">
      <c r="A373" s="417" t="s">
        <v>204</v>
      </c>
      <c r="B373" s="418" t="s">
        <v>262</v>
      </c>
      <c r="C373" s="418" t="s">
        <v>326</v>
      </c>
      <c r="D373" s="424">
        <v>12.26</v>
      </c>
      <c r="E373" s="424">
        <v>12.26</v>
      </c>
      <c r="H373" s="414"/>
    </row>
    <row r="374" spans="1:5" ht="15.75">
      <c r="A374" s="417" t="s">
        <v>204</v>
      </c>
      <c r="B374" s="418" t="s">
        <v>262</v>
      </c>
      <c r="C374" s="418" t="s">
        <v>385</v>
      </c>
      <c r="D374" s="424">
        <v>694.35</v>
      </c>
      <c r="E374" s="424">
        <v>575.12</v>
      </c>
    </row>
    <row r="375" spans="1:5" ht="15.75">
      <c r="A375" s="417" t="s">
        <v>204</v>
      </c>
      <c r="B375" s="418" t="s">
        <v>262</v>
      </c>
      <c r="C375" s="418" t="s">
        <v>494</v>
      </c>
      <c r="D375" s="424">
        <v>108.98</v>
      </c>
      <c r="E375" s="424">
        <v>90.31</v>
      </c>
    </row>
    <row r="376" spans="1:5" ht="15.75">
      <c r="A376" s="417" t="s">
        <v>204</v>
      </c>
      <c r="B376" s="418" t="s">
        <v>262</v>
      </c>
      <c r="C376" s="418" t="s">
        <v>327</v>
      </c>
      <c r="D376" s="424">
        <v>500.5</v>
      </c>
      <c r="E376" s="424">
        <v>500.5</v>
      </c>
    </row>
    <row r="377" spans="1:5" ht="15.75">
      <c r="A377" s="417" t="s">
        <v>204</v>
      </c>
      <c r="B377" s="418" t="s">
        <v>262</v>
      </c>
      <c r="C377" s="418" t="s">
        <v>327</v>
      </c>
      <c r="D377" s="424">
        <v>732</v>
      </c>
      <c r="E377" s="424">
        <v>600</v>
      </c>
    </row>
    <row r="378" spans="1:5" ht="15.75">
      <c r="A378" s="417" t="s">
        <v>204</v>
      </c>
      <c r="B378" s="418" t="s">
        <v>262</v>
      </c>
      <c r="C378" s="418" t="s">
        <v>327</v>
      </c>
      <c r="D378" s="424">
        <v>3000</v>
      </c>
      <c r="E378" s="424">
        <v>3000</v>
      </c>
    </row>
    <row r="379" spans="1:8" ht="15.75">
      <c r="A379" s="417" t="s">
        <v>204</v>
      </c>
      <c r="B379" s="418" t="s">
        <v>262</v>
      </c>
      <c r="C379" s="418" t="s">
        <v>327</v>
      </c>
      <c r="D379" s="424">
        <v>4350</v>
      </c>
      <c r="E379" s="424">
        <v>4350</v>
      </c>
      <c r="H379" s="414"/>
    </row>
    <row r="380" spans="1:5" ht="15.75">
      <c r="A380" s="417" t="s">
        <v>204</v>
      </c>
      <c r="B380" s="418" t="s">
        <v>262</v>
      </c>
      <c r="C380" s="418" t="s">
        <v>386</v>
      </c>
      <c r="D380" s="424">
        <v>32939.83</v>
      </c>
      <c r="E380" s="424">
        <v>32891.06</v>
      </c>
    </row>
    <row r="381" spans="1:5" ht="15.75">
      <c r="A381" s="417" t="s">
        <v>204</v>
      </c>
      <c r="B381" s="418" t="s">
        <v>262</v>
      </c>
      <c r="C381" s="418" t="s">
        <v>495</v>
      </c>
      <c r="D381" s="424">
        <v>5169.97</v>
      </c>
      <c r="E381" s="424">
        <v>5164.14</v>
      </c>
    </row>
    <row r="382" spans="1:5" ht="15.75">
      <c r="A382" s="413" t="s">
        <v>204</v>
      </c>
      <c r="B382" s="416" t="s">
        <v>262</v>
      </c>
      <c r="C382" s="416" t="s">
        <v>328</v>
      </c>
      <c r="D382" s="423">
        <v>238630.25</v>
      </c>
      <c r="E382" s="423">
        <v>238419.4</v>
      </c>
    </row>
    <row r="383" spans="1:5" ht="15.75">
      <c r="A383" s="413" t="s">
        <v>204</v>
      </c>
      <c r="B383" s="416" t="s">
        <v>262</v>
      </c>
      <c r="C383" s="416" t="s">
        <v>328</v>
      </c>
      <c r="D383" s="423">
        <v>23551.05</v>
      </c>
      <c r="E383" s="423">
        <v>23551.05</v>
      </c>
    </row>
    <row r="384" spans="1:8" ht="15.75">
      <c r="A384" s="413" t="s">
        <v>204</v>
      </c>
      <c r="B384" s="416" t="s">
        <v>262</v>
      </c>
      <c r="C384" s="416" t="s">
        <v>328</v>
      </c>
      <c r="D384" s="423">
        <v>30960</v>
      </c>
      <c r="E384" s="423">
        <v>30959.44</v>
      </c>
      <c r="H384" s="414"/>
    </row>
    <row r="385" spans="1:5" ht="15.75">
      <c r="A385" s="413" t="s">
        <v>204</v>
      </c>
      <c r="B385" s="416" t="s">
        <v>262</v>
      </c>
      <c r="C385" s="416" t="s">
        <v>387</v>
      </c>
      <c r="D385" s="423">
        <v>2035.2</v>
      </c>
      <c r="E385" s="423">
        <v>2035.2</v>
      </c>
    </row>
    <row r="386" spans="1:5" ht="15.75">
      <c r="A386" s="413" t="s">
        <v>204</v>
      </c>
      <c r="B386" s="416" t="s">
        <v>262</v>
      </c>
      <c r="C386" s="416" t="s">
        <v>490</v>
      </c>
      <c r="D386" s="423">
        <v>319.48</v>
      </c>
      <c r="E386" s="423">
        <v>319.48</v>
      </c>
    </row>
    <row r="387" spans="1:5" ht="15.75">
      <c r="A387" s="413" t="s">
        <v>204</v>
      </c>
      <c r="B387" s="416" t="s">
        <v>262</v>
      </c>
      <c r="C387" s="416" t="s">
        <v>496</v>
      </c>
      <c r="D387" s="423">
        <v>28000</v>
      </c>
      <c r="E387" s="423">
        <v>27995.33</v>
      </c>
    </row>
    <row r="388" spans="1:5" ht="15.75">
      <c r="A388" s="413" t="s">
        <v>204</v>
      </c>
      <c r="B388" s="416" t="s">
        <v>262</v>
      </c>
      <c r="C388" s="416" t="s">
        <v>497</v>
      </c>
      <c r="D388" s="423">
        <v>3460.86</v>
      </c>
      <c r="E388" s="423">
        <v>3460.86</v>
      </c>
    </row>
    <row r="389" spans="1:5" ht="15.75">
      <c r="A389" s="413" t="s">
        <v>204</v>
      </c>
      <c r="B389" s="416" t="s">
        <v>262</v>
      </c>
      <c r="C389" s="416" t="s">
        <v>498</v>
      </c>
      <c r="D389" s="423">
        <v>2026.28</v>
      </c>
      <c r="E389" s="423">
        <v>2026.28</v>
      </c>
    </row>
    <row r="390" spans="1:5" ht="15.75">
      <c r="A390" s="413" t="s">
        <v>204</v>
      </c>
      <c r="B390" s="416" t="s">
        <v>262</v>
      </c>
      <c r="C390" s="416" t="s">
        <v>337</v>
      </c>
      <c r="D390" s="423">
        <v>142361</v>
      </c>
      <c r="E390" s="423">
        <v>142351.78</v>
      </c>
    </row>
    <row r="391" spans="1:8" ht="15.75">
      <c r="A391" s="413" t="s">
        <v>204</v>
      </c>
      <c r="B391" s="416" t="s">
        <v>262</v>
      </c>
      <c r="C391" s="416" t="s">
        <v>337</v>
      </c>
      <c r="D391" s="423">
        <v>380400</v>
      </c>
      <c r="E391" s="423">
        <v>380375.55</v>
      </c>
      <c r="H391" s="414"/>
    </row>
    <row r="392" spans="1:5" ht="15.75">
      <c r="A392" s="413" t="s">
        <v>204</v>
      </c>
      <c r="B392" s="416" t="s">
        <v>262</v>
      </c>
      <c r="C392" s="416" t="s">
        <v>343</v>
      </c>
      <c r="D392" s="423">
        <v>6335</v>
      </c>
      <c r="E392" s="423">
        <v>6331.8</v>
      </c>
    </row>
    <row r="393" spans="1:5" ht="15.75">
      <c r="A393" s="413" t="s">
        <v>204</v>
      </c>
      <c r="B393" s="416" t="s">
        <v>262</v>
      </c>
      <c r="C393" s="416" t="s">
        <v>329</v>
      </c>
      <c r="D393" s="423">
        <v>170</v>
      </c>
      <c r="E393" s="423">
        <v>170</v>
      </c>
    </row>
    <row r="394" spans="1:8" ht="15.75">
      <c r="A394" s="413" t="s">
        <v>204</v>
      </c>
      <c r="B394" s="416" t="s">
        <v>262</v>
      </c>
      <c r="C394" s="416" t="s">
        <v>329</v>
      </c>
      <c r="D394" s="423">
        <v>2100</v>
      </c>
      <c r="E394" s="423">
        <v>2070</v>
      </c>
      <c r="H394" s="414"/>
    </row>
    <row r="395" spans="1:5" ht="15.75">
      <c r="A395" s="413" t="s">
        <v>204</v>
      </c>
      <c r="B395" s="416" t="s">
        <v>262</v>
      </c>
      <c r="C395" s="416" t="s">
        <v>319</v>
      </c>
      <c r="D395" s="423">
        <v>25823</v>
      </c>
      <c r="E395" s="423">
        <v>25807.13</v>
      </c>
    </row>
    <row r="396" spans="1:8" ht="15.75">
      <c r="A396" s="413" t="s">
        <v>204</v>
      </c>
      <c r="B396" s="416" t="s">
        <v>262</v>
      </c>
      <c r="C396" s="416" t="s">
        <v>319</v>
      </c>
      <c r="D396" s="423">
        <v>16800</v>
      </c>
      <c r="E396" s="423">
        <v>16709.32</v>
      </c>
      <c r="H396" s="414"/>
    </row>
    <row r="397" spans="1:5" ht="15.75">
      <c r="A397" s="413" t="s">
        <v>204</v>
      </c>
      <c r="B397" s="416" t="s">
        <v>262</v>
      </c>
      <c r="C397" s="416" t="s">
        <v>388</v>
      </c>
      <c r="D397" s="423">
        <v>1270.99</v>
      </c>
      <c r="E397" s="423">
        <v>1238.57</v>
      </c>
    </row>
    <row r="398" spans="1:5" ht="15.75">
      <c r="A398" s="413" t="s">
        <v>204</v>
      </c>
      <c r="B398" s="416" t="s">
        <v>262</v>
      </c>
      <c r="C398" s="416" t="s">
        <v>499</v>
      </c>
      <c r="D398" s="423">
        <v>199.01</v>
      </c>
      <c r="E398" s="423">
        <v>194.43</v>
      </c>
    </row>
    <row r="399" spans="1:5" ht="15.75">
      <c r="A399" s="413" t="s">
        <v>204</v>
      </c>
      <c r="B399" s="416" t="s">
        <v>262</v>
      </c>
      <c r="C399" s="416" t="s">
        <v>344</v>
      </c>
      <c r="D399" s="423">
        <v>6393</v>
      </c>
      <c r="E399" s="423">
        <v>6392.02</v>
      </c>
    </row>
    <row r="400" spans="1:5" ht="15.75">
      <c r="A400" s="413" t="s">
        <v>204</v>
      </c>
      <c r="B400" s="416" t="s">
        <v>262</v>
      </c>
      <c r="C400" s="416" t="s">
        <v>345</v>
      </c>
      <c r="D400" s="423">
        <v>1100</v>
      </c>
      <c r="E400" s="423">
        <v>1024.8</v>
      </c>
    </row>
    <row r="401" spans="1:5" ht="15.75">
      <c r="A401" s="413" t="s">
        <v>204</v>
      </c>
      <c r="B401" s="416" t="s">
        <v>262</v>
      </c>
      <c r="C401" s="416" t="s">
        <v>346</v>
      </c>
      <c r="D401" s="423">
        <v>3700</v>
      </c>
      <c r="E401" s="423">
        <v>3645.49</v>
      </c>
    </row>
    <row r="402" spans="1:8" ht="15.75">
      <c r="A402" s="413" t="s">
        <v>204</v>
      </c>
      <c r="B402" s="416" t="s">
        <v>262</v>
      </c>
      <c r="C402" s="416" t="s">
        <v>346</v>
      </c>
      <c r="D402" s="423">
        <v>4139</v>
      </c>
      <c r="E402" s="423">
        <v>4138.46</v>
      </c>
      <c r="H402" s="414"/>
    </row>
    <row r="403" spans="1:5" ht="15.75">
      <c r="A403" s="413" t="s">
        <v>204</v>
      </c>
      <c r="B403" s="416" t="s">
        <v>262</v>
      </c>
      <c r="C403" s="416" t="s">
        <v>330</v>
      </c>
      <c r="D403" s="423">
        <v>6900</v>
      </c>
      <c r="E403" s="423">
        <v>6839.31</v>
      </c>
    </row>
    <row r="404" spans="1:5" ht="15.75">
      <c r="A404" s="413" t="s">
        <v>204</v>
      </c>
      <c r="B404" s="416" t="s">
        <v>262</v>
      </c>
      <c r="C404" s="416" t="s">
        <v>320</v>
      </c>
      <c r="D404" s="423">
        <v>2120</v>
      </c>
      <c r="E404" s="423">
        <v>2116</v>
      </c>
    </row>
    <row r="405" spans="1:8" ht="15.75">
      <c r="A405" s="413" t="s">
        <v>204</v>
      </c>
      <c r="B405" s="416" t="s">
        <v>262</v>
      </c>
      <c r="C405" s="416" t="s">
        <v>320</v>
      </c>
      <c r="D405" s="423">
        <v>16365</v>
      </c>
      <c r="E405" s="423">
        <v>16219.58</v>
      </c>
      <c r="H405" s="414"/>
    </row>
    <row r="406" spans="1:5" ht="15.75">
      <c r="A406" s="413" t="s">
        <v>204</v>
      </c>
      <c r="B406" s="416" t="s">
        <v>262</v>
      </c>
      <c r="C406" s="416" t="s">
        <v>347</v>
      </c>
      <c r="D406" s="423">
        <v>29335</v>
      </c>
      <c r="E406" s="423">
        <v>29334.5</v>
      </c>
    </row>
    <row r="407" spans="1:8" ht="15.75">
      <c r="A407" s="413" t="s">
        <v>204</v>
      </c>
      <c r="B407" s="416" t="s">
        <v>262</v>
      </c>
      <c r="C407" s="416" t="s">
        <v>347</v>
      </c>
      <c r="D407" s="423">
        <v>112834</v>
      </c>
      <c r="E407" s="423">
        <v>110533.7</v>
      </c>
      <c r="H407" s="414"/>
    </row>
    <row r="408" spans="1:5" ht="15.75">
      <c r="A408" s="413" t="s">
        <v>204</v>
      </c>
      <c r="B408" s="416" t="s">
        <v>262</v>
      </c>
      <c r="C408" s="416" t="s">
        <v>358</v>
      </c>
      <c r="D408" s="423">
        <v>48434</v>
      </c>
      <c r="E408" s="423">
        <v>48434</v>
      </c>
    </row>
    <row r="409" spans="1:5" ht="15.75">
      <c r="A409" s="413" t="s">
        <v>204</v>
      </c>
      <c r="B409" s="416" t="s">
        <v>262</v>
      </c>
      <c r="C409" s="416" t="s">
        <v>389</v>
      </c>
      <c r="D409" s="423">
        <v>800</v>
      </c>
      <c r="E409" s="423">
        <v>790</v>
      </c>
    </row>
    <row r="410" spans="1:5" ht="15.75">
      <c r="A410" s="413" t="s">
        <v>204</v>
      </c>
      <c r="B410" s="416" t="s">
        <v>262</v>
      </c>
      <c r="C410" s="416" t="s">
        <v>348</v>
      </c>
      <c r="D410" s="423">
        <v>65</v>
      </c>
      <c r="E410" s="423">
        <v>62.71</v>
      </c>
    </row>
    <row r="411" spans="1:8" ht="15.75">
      <c r="A411" s="413" t="s">
        <v>204</v>
      </c>
      <c r="B411" s="416" t="s">
        <v>262</v>
      </c>
      <c r="C411" s="416" t="s">
        <v>348</v>
      </c>
      <c r="D411" s="423">
        <v>3300</v>
      </c>
      <c r="E411" s="423">
        <v>3062.93</v>
      </c>
      <c r="H411" s="414"/>
    </row>
    <row r="412" spans="1:5" ht="15.75">
      <c r="A412" s="413" t="s">
        <v>204</v>
      </c>
      <c r="B412" s="416" t="s">
        <v>262</v>
      </c>
      <c r="C412" s="416" t="s">
        <v>321</v>
      </c>
      <c r="D412" s="423">
        <v>4100</v>
      </c>
      <c r="E412" s="423">
        <v>4047.84</v>
      </c>
    </row>
    <row r="413" spans="1:5" ht="15.75">
      <c r="A413" s="421" t="s">
        <v>204</v>
      </c>
      <c r="B413" s="422" t="s">
        <v>262</v>
      </c>
      <c r="C413" s="422" t="s">
        <v>361</v>
      </c>
      <c r="D413" s="426">
        <v>51500</v>
      </c>
      <c r="E413" s="426">
        <v>51495.22</v>
      </c>
    </row>
    <row r="414" spans="1:5" ht="15.75">
      <c r="A414" s="419"/>
      <c r="B414" s="420"/>
      <c r="C414" s="420"/>
      <c r="D414" s="425"/>
      <c r="E414" s="425"/>
    </row>
    <row r="415" spans="1:7" ht="15.75">
      <c r="A415" s="413" t="s">
        <v>378</v>
      </c>
      <c r="B415" s="416" t="s">
        <v>379</v>
      </c>
      <c r="C415" s="416" t="s">
        <v>328</v>
      </c>
      <c r="D415" s="423">
        <v>4500</v>
      </c>
      <c r="E415" s="423">
        <v>3375</v>
      </c>
      <c r="F415" s="423">
        <f>D415+D416</f>
        <v>10000</v>
      </c>
      <c r="G415" s="423">
        <f>E415+E416</f>
        <v>8730</v>
      </c>
    </row>
    <row r="416" spans="1:5" ht="15.75">
      <c r="A416" s="413" t="s">
        <v>378</v>
      </c>
      <c r="B416" s="416" t="s">
        <v>379</v>
      </c>
      <c r="C416" s="416" t="s">
        <v>319</v>
      </c>
      <c r="D416" s="423">
        <v>5500</v>
      </c>
      <c r="E416" s="423">
        <v>5355</v>
      </c>
    </row>
    <row r="418" spans="1:5" ht="15.75">
      <c r="A418" s="428" t="s">
        <v>378</v>
      </c>
      <c r="B418" s="429" t="s">
        <v>380</v>
      </c>
      <c r="C418" s="429" t="s">
        <v>153</v>
      </c>
      <c r="D418" s="430">
        <v>17500</v>
      </c>
      <c r="E418" s="430">
        <v>16500</v>
      </c>
    </row>
    <row r="419" spans="1:7" ht="15.75">
      <c r="A419" s="417" t="s">
        <v>378</v>
      </c>
      <c r="B419" s="418" t="s">
        <v>380</v>
      </c>
      <c r="C419" s="418" t="s">
        <v>325</v>
      </c>
      <c r="D419" s="424">
        <v>2700</v>
      </c>
      <c r="E419" s="424">
        <v>1984.38</v>
      </c>
      <c r="F419" s="424">
        <f>D419+D420+D421</f>
        <v>25000</v>
      </c>
      <c r="G419" s="424">
        <f>E419+E420+E421</f>
        <v>23454.58</v>
      </c>
    </row>
    <row r="420" spans="1:7" ht="15.75">
      <c r="A420" s="417" t="s">
        <v>378</v>
      </c>
      <c r="B420" s="418" t="s">
        <v>380</v>
      </c>
      <c r="C420" s="418" t="s">
        <v>326</v>
      </c>
      <c r="D420" s="424">
        <v>300</v>
      </c>
      <c r="E420" s="424">
        <v>234.55</v>
      </c>
      <c r="F420" s="423">
        <f>SUM(D422:D429)</f>
        <v>168294</v>
      </c>
      <c r="G420" s="423">
        <f>SUM(E422:E429)</f>
        <v>158003.66</v>
      </c>
    </row>
    <row r="421" spans="1:5" ht="15.75">
      <c r="A421" s="417" t="s">
        <v>378</v>
      </c>
      <c r="B421" s="418" t="s">
        <v>380</v>
      </c>
      <c r="C421" s="418" t="s">
        <v>327</v>
      </c>
      <c r="D421" s="424">
        <v>22000</v>
      </c>
      <c r="E421" s="424">
        <v>21235.65</v>
      </c>
    </row>
    <row r="422" spans="1:5" ht="15.75">
      <c r="A422" s="413" t="s">
        <v>378</v>
      </c>
      <c r="B422" s="416" t="s">
        <v>380</v>
      </c>
      <c r="C422" s="416" t="s">
        <v>328</v>
      </c>
      <c r="D422" s="423">
        <v>66000</v>
      </c>
      <c r="E422" s="423">
        <v>62586.84</v>
      </c>
    </row>
    <row r="423" spans="1:5" ht="15.75">
      <c r="A423" s="413" t="s">
        <v>378</v>
      </c>
      <c r="B423" s="416" t="s">
        <v>380</v>
      </c>
      <c r="C423" s="416" t="s">
        <v>329</v>
      </c>
      <c r="D423" s="423">
        <v>2000</v>
      </c>
      <c r="E423" s="423">
        <v>1700</v>
      </c>
    </row>
    <row r="424" spans="1:5" ht="15.75">
      <c r="A424" s="413" t="s">
        <v>378</v>
      </c>
      <c r="B424" s="416" t="s">
        <v>380</v>
      </c>
      <c r="C424" s="416" t="s">
        <v>319</v>
      </c>
      <c r="D424" s="423">
        <v>92594</v>
      </c>
      <c r="E424" s="423">
        <v>90221.41</v>
      </c>
    </row>
    <row r="425" spans="1:5" ht="15.75">
      <c r="A425" s="413" t="s">
        <v>378</v>
      </c>
      <c r="B425" s="416" t="s">
        <v>380</v>
      </c>
      <c r="C425" s="416" t="s">
        <v>344</v>
      </c>
      <c r="D425" s="423">
        <v>1000</v>
      </c>
      <c r="E425" s="423">
        <v>0</v>
      </c>
    </row>
    <row r="426" spans="1:5" ht="15.75">
      <c r="A426" s="413" t="s">
        <v>378</v>
      </c>
      <c r="B426" s="416" t="s">
        <v>380</v>
      </c>
      <c r="C426" s="416" t="s">
        <v>346</v>
      </c>
      <c r="D426" s="423">
        <v>2000</v>
      </c>
      <c r="E426" s="423">
        <v>371.6</v>
      </c>
    </row>
    <row r="427" spans="1:5" ht="15.75">
      <c r="A427" s="413" t="s">
        <v>378</v>
      </c>
      <c r="B427" s="416" t="s">
        <v>380</v>
      </c>
      <c r="C427" s="416" t="s">
        <v>330</v>
      </c>
      <c r="D427" s="423">
        <v>3000</v>
      </c>
      <c r="E427" s="423">
        <v>2375.3</v>
      </c>
    </row>
    <row r="428" spans="1:5" ht="15.75">
      <c r="A428" s="413" t="s">
        <v>378</v>
      </c>
      <c r="B428" s="416" t="s">
        <v>380</v>
      </c>
      <c r="C428" s="416" t="s">
        <v>320</v>
      </c>
      <c r="D428" s="423">
        <v>1000</v>
      </c>
      <c r="E428" s="423">
        <v>675</v>
      </c>
    </row>
    <row r="429" spans="1:5" ht="15.75">
      <c r="A429" s="413" t="s">
        <v>378</v>
      </c>
      <c r="B429" s="416" t="s">
        <v>380</v>
      </c>
      <c r="C429" s="416" t="s">
        <v>348</v>
      </c>
      <c r="D429" s="423">
        <v>700</v>
      </c>
      <c r="E429" s="423">
        <v>73.51</v>
      </c>
    </row>
    <row r="431" spans="1:5" ht="15.75">
      <c r="A431" s="413" t="s">
        <v>265</v>
      </c>
      <c r="B431" s="416" t="s">
        <v>381</v>
      </c>
      <c r="C431" s="416" t="s">
        <v>382</v>
      </c>
      <c r="D431" s="423">
        <v>198432</v>
      </c>
      <c r="E431" s="423">
        <v>189276.19</v>
      </c>
    </row>
    <row r="433" spans="1:5" ht="15.75">
      <c r="A433" s="413" t="s">
        <v>265</v>
      </c>
      <c r="B433" s="416" t="s">
        <v>278</v>
      </c>
      <c r="C433" s="416" t="s">
        <v>322</v>
      </c>
      <c r="D433" s="423">
        <v>206</v>
      </c>
      <c r="E433" s="423">
        <v>205.61</v>
      </c>
    </row>
    <row r="434" spans="1:7" ht="15.75">
      <c r="A434" s="417" t="s">
        <v>265</v>
      </c>
      <c r="B434" s="418" t="s">
        <v>278</v>
      </c>
      <c r="C434" s="418" t="s">
        <v>323</v>
      </c>
      <c r="D434" s="424">
        <v>0</v>
      </c>
      <c r="E434" s="424">
        <v>12218.07</v>
      </c>
      <c r="F434" s="424">
        <f>SUM(D434:D445)</f>
        <v>306854.2</v>
      </c>
      <c r="G434" s="424">
        <f>SUM(E434:E445)</f>
        <v>306702.22</v>
      </c>
    </row>
    <row r="435" spans="1:7" ht="15.75">
      <c r="A435" s="417" t="s">
        <v>265</v>
      </c>
      <c r="B435" s="418" t="s">
        <v>278</v>
      </c>
      <c r="C435" s="418" t="s">
        <v>323</v>
      </c>
      <c r="D435" s="424">
        <v>9232.2</v>
      </c>
      <c r="E435" s="424">
        <v>9087.51</v>
      </c>
      <c r="F435" s="423">
        <f>SUM(D446:D460)+D433</f>
        <v>140045</v>
      </c>
      <c r="G435" s="423">
        <f>SUM(E446:E460)+E433</f>
        <v>139391.49</v>
      </c>
    </row>
    <row r="436" spans="1:8" ht="15.75">
      <c r="A436" s="417" t="s">
        <v>265</v>
      </c>
      <c r="B436" s="418" t="s">
        <v>278</v>
      </c>
      <c r="C436" s="418" t="s">
        <v>323</v>
      </c>
      <c r="D436" s="424">
        <v>233034</v>
      </c>
      <c r="E436" s="424">
        <v>220815.23</v>
      </c>
      <c r="H436" s="414"/>
    </row>
    <row r="437" spans="1:5" ht="15.75">
      <c r="A437" s="417" t="s">
        <v>265</v>
      </c>
      <c r="B437" s="418" t="s">
        <v>278</v>
      </c>
      <c r="C437" s="418" t="s">
        <v>324</v>
      </c>
      <c r="D437" s="424">
        <v>14972</v>
      </c>
      <c r="E437" s="424">
        <v>14967.85</v>
      </c>
    </row>
    <row r="438" spans="1:5" ht="15.75">
      <c r="A438" s="417" t="s">
        <v>265</v>
      </c>
      <c r="B438" s="418" t="s">
        <v>278</v>
      </c>
      <c r="C438" s="418" t="s">
        <v>324</v>
      </c>
      <c r="D438" s="424">
        <v>1677</v>
      </c>
      <c r="E438" s="424">
        <v>1675.73</v>
      </c>
    </row>
    <row r="439" spans="1:8" ht="15.75">
      <c r="A439" s="417" t="s">
        <v>265</v>
      </c>
      <c r="B439" s="418" t="s">
        <v>278</v>
      </c>
      <c r="C439" s="418" t="s">
        <v>324</v>
      </c>
      <c r="D439" s="424">
        <v>0</v>
      </c>
      <c r="E439" s="424">
        <v>0</v>
      </c>
      <c r="H439" s="414"/>
    </row>
    <row r="440" spans="1:5" ht="15.75">
      <c r="A440" s="417" t="s">
        <v>265</v>
      </c>
      <c r="B440" s="418" t="s">
        <v>278</v>
      </c>
      <c r="C440" s="418" t="s">
        <v>325</v>
      </c>
      <c r="D440" s="424">
        <v>37592</v>
      </c>
      <c r="E440" s="424">
        <v>35590.56</v>
      </c>
    </row>
    <row r="441" spans="1:5" ht="15.75">
      <c r="A441" s="417" t="s">
        <v>265</v>
      </c>
      <c r="B441" s="418" t="s">
        <v>278</v>
      </c>
      <c r="C441" s="418" t="s">
        <v>325</v>
      </c>
      <c r="D441" s="424">
        <v>1496</v>
      </c>
      <c r="E441" s="424">
        <v>1496</v>
      </c>
    </row>
    <row r="442" spans="1:8" ht="15.75">
      <c r="A442" s="417" t="s">
        <v>265</v>
      </c>
      <c r="B442" s="418" t="s">
        <v>278</v>
      </c>
      <c r="C442" s="418" t="s">
        <v>325</v>
      </c>
      <c r="D442" s="424">
        <v>0</v>
      </c>
      <c r="E442" s="424">
        <v>2000.31</v>
      </c>
      <c r="H442" s="414"/>
    </row>
    <row r="443" spans="1:5" ht="15.75">
      <c r="A443" s="417" t="s">
        <v>265</v>
      </c>
      <c r="B443" s="418" t="s">
        <v>278</v>
      </c>
      <c r="C443" s="418" t="s">
        <v>326</v>
      </c>
      <c r="D443" s="424">
        <v>6101</v>
      </c>
      <c r="E443" s="424">
        <v>5542.29</v>
      </c>
    </row>
    <row r="444" spans="1:8" ht="15.75">
      <c r="A444" s="417" t="s">
        <v>265</v>
      </c>
      <c r="B444" s="418" t="s">
        <v>278</v>
      </c>
      <c r="C444" s="418" t="s">
        <v>326</v>
      </c>
      <c r="D444" s="424">
        <v>0</v>
      </c>
      <c r="E444" s="424">
        <v>558.67</v>
      </c>
      <c r="H444" s="414"/>
    </row>
    <row r="445" spans="1:5" ht="15.75">
      <c r="A445" s="417" t="s">
        <v>265</v>
      </c>
      <c r="B445" s="418" t="s">
        <v>278</v>
      </c>
      <c r="C445" s="418" t="s">
        <v>327</v>
      </c>
      <c r="D445" s="424">
        <v>2750</v>
      </c>
      <c r="E445" s="424">
        <v>2750</v>
      </c>
    </row>
    <row r="446" spans="1:5" ht="15.75">
      <c r="A446" s="413" t="s">
        <v>265</v>
      </c>
      <c r="B446" s="416" t="s">
        <v>278</v>
      </c>
      <c r="C446" s="416" t="s">
        <v>328</v>
      </c>
      <c r="D446" s="423">
        <v>634</v>
      </c>
      <c r="E446" s="423">
        <v>0</v>
      </c>
    </row>
    <row r="447" spans="1:8" ht="15.75">
      <c r="A447" s="413" t="s">
        <v>265</v>
      </c>
      <c r="B447" s="416" t="s">
        <v>278</v>
      </c>
      <c r="C447" s="416" t="s">
        <v>328</v>
      </c>
      <c r="D447" s="423">
        <v>48310</v>
      </c>
      <c r="E447" s="423">
        <v>48308.42</v>
      </c>
      <c r="H447" s="414"/>
    </row>
    <row r="448" spans="1:5" ht="15.75">
      <c r="A448" s="413" t="s">
        <v>265</v>
      </c>
      <c r="B448" s="416" t="s">
        <v>278</v>
      </c>
      <c r="C448" s="416" t="s">
        <v>337</v>
      </c>
      <c r="D448" s="423">
        <v>33684</v>
      </c>
      <c r="E448" s="423">
        <v>33683.99</v>
      </c>
    </row>
    <row r="449" spans="1:5" ht="15.75">
      <c r="A449" s="413" t="s">
        <v>265</v>
      </c>
      <c r="B449" s="416" t="s">
        <v>278</v>
      </c>
      <c r="C449" s="416" t="s">
        <v>329</v>
      </c>
      <c r="D449" s="423">
        <v>1249</v>
      </c>
      <c r="E449" s="423">
        <v>1249</v>
      </c>
    </row>
    <row r="450" spans="1:5" ht="15.75">
      <c r="A450" s="413" t="s">
        <v>265</v>
      </c>
      <c r="B450" s="416" t="s">
        <v>278</v>
      </c>
      <c r="C450" s="416" t="s">
        <v>319</v>
      </c>
      <c r="D450" s="423">
        <v>24664</v>
      </c>
      <c r="E450" s="423">
        <v>24663.02</v>
      </c>
    </row>
    <row r="451" spans="1:5" ht="15.75">
      <c r="A451" s="413" t="s">
        <v>265</v>
      </c>
      <c r="B451" s="416" t="s">
        <v>278</v>
      </c>
      <c r="C451" s="416" t="s">
        <v>344</v>
      </c>
      <c r="D451" s="423">
        <v>1439</v>
      </c>
      <c r="E451" s="423">
        <v>1438.8</v>
      </c>
    </row>
    <row r="452" spans="1:5" ht="15.75">
      <c r="A452" s="413" t="s">
        <v>265</v>
      </c>
      <c r="B452" s="416" t="s">
        <v>278</v>
      </c>
      <c r="C452" s="416" t="s">
        <v>345</v>
      </c>
      <c r="D452" s="423">
        <v>1594</v>
      </c>
      <c r="E452" s="423">
        <v>1580.49</v>
      </c>
    </row>
    <row r="453" spans="1:5" ht="15.75">
      <c r="A453" s="413" t="s">
        <v>265</v>
      </c>
      <c r="B453" s="416" t="s">
        <v>278</v>
      </c>
      <c r="C453" s="416" t="s">
        <v>346</v>
      </c>
      <c r="D453" s="423">
        <v>2046</v>
      </c>
      <c r="E453" s="423">
        <v>2045.22</v>
      </c>
    </row>
    <row r="454" spans="1:5" ht="15.75">
      <c r="A454" s="413" t="s">
        <v>265</v>
      </c>
      <c r="B454" s="416" t="s">
        <v>278</v>
      </c>
      <c r="C454" s="416" t="s">
        <v>330</v>
      </c>
      <c r="D454" s="423">
        <v>3714</v>
      </c>
      <c r="E454" s="423">
        <v>3713.35</v>
      </c>
    </row>
    <row r="455" spans="1:5" ht="15.75">
      <c r="A455" s="413" t="s">
        <v>265</v>
      </c>
      <c r="B455" s="416" t="s">
        <v>278</v>
      </c>
      <c r="C455" s="416" t="s">
        <v>357</v>
      </c>
      <c r="D455" s="423">
        <v>4402</v>
      </c>
      <c r="E455" s="423">
        <v>4401.77</v>
      </c>
    </row>
    <row r="456" spans="1:5" ht="15.75">
      <c r="A456" s="413" t="s">
        <v>265</v>
      </c>
      <c r="B456" s="416" t="s">
        <v>278</v>
      </c>
      <c r="C456" s="416" t="s">
        <v>320</v>
      </c>
      <c r="D456" s="423">
        <v>3319</v>
      </c>
      <c r="E456" s="423">
        <v>3319</v>
      </c>
    </row>
    <row r="457" spans="1:5" ht="15.75">
      <c r="A457" s="413" t="s">
        <v>265</v>
      </c>
      <c r="B457" s="416" t="s">
        <v>278</v>
      </c>
      <c r="C457" s="416" t="s">
        <v>347</v>
      </c>
      <c r="D457" s="423">
        <v>9648</v>
      </c>
      <c r="E457" s="423">
        <v>9647.05</v>
      </c>
    </row>
    <row r="458" spans="1:5" ht="15.75">
      <c r="A458" s="413" t="s">
        <v>265</v>
      </c>
      <c r="B458" s="416" t="s">
        <v>278</v>
      </c>
      <c r="C458" s="416" t="s">
        <v>389</v>
      </c>
      <c r="D458" s="423">
        <v>1205</v>
      </c>
      <c r="E458" s="423">
        <v>1205</v>
      </c>
    </row>
    <row r="459" spans="1:5" ht="15.75">
      <c r="A459" s="413" t="s">
        <v>265</v>
      </c>
      <c r="B459" s="416" t="s">
        <v>278</v>
      </c>
      <c r="C459" s="416" t="s">
        <v>348</v>
      </c>
      <c r="D459" s="423">
        <v>330</v>
      </c>
      <c r="E459" s="423">
        <v>329.8</v>
      </c>
    </row>
    <row r="460" spans="1:5" ht="15.75">
      <c r="A460" s="413" t="s">
        <v>265</v>
      </c>
      <c r="B460" s="416" t="s">
        <v>278</v>
      </c>
      <c r="C460" s="416" t="s">
        <v>321</v>
      </c>
      <c r="D460" s="423">
        <v>3601</v>
      </c>
      <c r="E460" s="423">
        <v>3600.97</v>
      </c>
    </row>
    <row r="462" spans="1:7" ht="15.75">
      <c r="A462" s="413" t="s">
        <v>265</v>
      </c>
      <c r="B462" s="416" t="s">
        <v>266</v>
      </c>
      <c r="C462" s="416">
        <v>3110</v>
      </c>
      <c r="D462" s="423">
        <v>4863909.4</v>
      </c>
      <c r="E462" s="423">
        <v>4240374.41</v>
      </c>
      <c r="F462" s="423">
        <f>D462+D464+D465+SUM(D473:D482)</f>
        <v>4916428</v>
      </c>
      <c r="G462" s="423">
        <f>E462+E464+E465+SUM(E473:E482)</f>
        <v>4915882.38</v>
      </c>
    </row>
    <row r="463" spans="1:7" ht="15.75">
      <c r="A463" s="419" t="s">
        <v>265</v>
      </c>
      <c r="B463" s="420" t="s">
        <v>266</v>
      </c>
      <c r="C463" s="420" t="s">
        <v>390</v>
      </c>
      <c r="D463" s="425">
        <v>18989.09</v>
      </c>
      <c r="E463" s="425">
        <v>18459.12</v>
      </c>
      <c r="F463" s="425">
        <f>D463</f>
        <v>18989.09</v>
      </c>
      <c r="G463" s="425">
        <f>E463</f>
        <v>18459.12</v>
      </c>
    </row>
    <row r="464" spans="1:7" ht="15.75">
      <c r="A464" s="413" t="s">
        <v>265</v>
      </c>
      <c r="B464" s="416" t="s">
        <v>266</v>
      </c>
      <c r="C464" s="416" t="s">
        <v>322</v>
      </c>
      <c r="D464" s="423">
        <v>817</v>
      </c>
      <c r="E464" s="423">
        <v>816.28</v>
      </c>
      <c r="F464" s="424">
        <f>SUM(D466:D472)</f>
        <v>149412</v>
      </c>
      <c r="G464" s="424">
        <f>SUM(E466:E472)</f>
        <v>149402.38999999998</v>
      </c>
    </row>
    <row r="465" spans="1:5" ht="15.75">
      <c r="A465" s="413" t="s">
        <v>265</v>
      </c>
      <c r="B465" s="416" t="s">
        <v>266</v>
      </c>
      <c r="C465" s="416" t="s">
        <v>369</v>
      </c>
      <c r="D465" s="423">
        <v>0</v>
      </c>
      <c r="E465" s="423">
        <v>623422.92</v>
      </c>
    </row>
    <row r="466" spans="1:5" ht="15.75">
      <c r="A466" s="417" t="s">
        <v>265</v>
      </c>
      <c r="B466" s="418" t="s">
        <v>266</v>
      </c>
      <c r="C466" s="418" t="s">
        <v>323</v>
      </c>
      <c r="D466" s="424">
        <v>20308</v>
      </c>
      <c r="E466" s="424">
        <v>20307.13</v>
      </c>
    </row>
    <row r="467" spans="1:8" ht="15.75">
      <c r="A467" s="417" t="s">
        <v>265</v>
      </c>
      <c r="B467" s="418" t="s">
        <v>266</v>
      </c>
      <c r="C467" s="418" t="s">
        <v>323</v>
      </c>
      <c r="D467" s="424">
        <v>65118</v>
      </c>
      <c r="E467" s="424">
        <v>65118</v>
      </c>
      <c r="H467" s="414"/>
    </row>
    <row r="468" spans="1:5" ht="15.75">
      <c r="A468" s="417" t="s">
        <v>265</v>
      </c>
      <c r="B468" s="418" t="s">
        <v>266</v>
      </c>
      <c r="C468" s="418" t="s">
        <v>324</v>
      </c>
      <c r="D468" s="424">
        <v>6710</v>
      </c>
      <c r="E468" s="424">
        <v>6707.41</v>
      </c>
    </row>
    <row r="469" spans="1:5" ht="15.75">
      <c r="A469" s="417" t="s">
        <v>265</v>
      </c>
      <c r="B469" s="418" t="s">
        <v>266</v>
      </c>
      <c r="C469" s="418" t="s">
        <v>325</v>
      </c>
      <c r="D469" s="424">
        <v>51156</v>
      </c>
      <c r="E469" s="424">
        <v>15765.55</v>
      </c>
    </row>
    <row r="470" spans="1:8" ht="15.75">
      <c r="A470" s="417" t="s">
        <v>265</v>
      </c>
      <c r="B470" s="418" t="s">
        <v>266</v>
      </c>
      <c r="C470" s="418" t="s">
        <v>325</v>
      </c>
      <c r="D470" s="424">
        <v>0</v>
      </c>
      <c r="E470" s="424">
        <v>35384.85</v>
      </c>
      <c r="H470" s="414"/>
    </row>
    <row r="471" spans="1:5" ht="15.75">
      <c r="A471" s="417" t="s">
        <v>265</v>
      </c>
      <c r="B471" s="418" t="s">
        <v>266</v>
      </c>
      <c r="C471" s="418" t="s">
        <v>326</v>
      </c>
      <c r="D471" s="424">
        <v>2494</v>
      </c>
      <c r="E471" s="424">
        <v>2493.65</v>
      </c>
    </row>
    <row r="472" spans="1:5" ht="15.75">
      <c r="A472" s="417" t="s">
        <v>265</v>
      </c>
      <c r="B472" s="418" t="s">
        <v>266</v>
      </c>
      <c r="C472" s="418" t="s">
        <v>327</v>
      </c>
      <c r="D472" s="424">
        <v>3626</v>
      </c>
      <c r="E472" s="424">
        <v>3625.8</v>
      </c>
    </row>
    <row r="473" spans="1:5" ht="15.75">
      <c r="A473" s="413" t="s">
        <v>265</v>
      </c>
      <c r="B473" s="416" t="s">
        <v>266</v>
      </c>
      <c r="C473" s="416" t="s">
        <v>328</v>
      </c>
      <c r="D473" s="423">
        <v>5703</v>
      </c>
      <c r="E473" s="423">
        <v>5694.35</v>
      </c>
    </row>
    <row r="474" spans="1:5" ht="15.75">
      <c r="A474" s="413" t="s">
        <v>265</v>
      </c>
      <c r="B474" s="416" t="s">
        <v>266</v>
      </c>
      <c r="C474" s="416" t="s">
        <v>337</v>
      </c>
      <c r="D474" s="423">
        <v>3401</v>
      </c>
      <c r="E474" s="423">
        <v>3400.27</v>
      </c>
    </row>
    <row r="475" spans="1:5" ht="15.75">
      <c r="A475" s="413" t="s">
        <v>265</v>
      </c>
      <c r="B475" s="416" t="s">
        <v>266</v>
      </c>
      <c r="C475" s="416" t="s">
        <v>319</v>
      </c>
      <c r="D475" s="423">
        <v>8112</v>
      </c>
      <c r="E475" s="423">
        <v>8111.46</v>
      </c>
    </row>
    <row r="476" spans="1:8" ht="15.75">
      <c r="A476" s="413" t="s">
        <v>265</v>
      </c>
      <c r="B476" s="416" t="s">
        <v>266</v>
      </c>
      <c r="C476" s="416" t="s">
        <v>319</v>
      </c>
      <c r="D476" s="423">
        <v>23568.6</v>
      </c>
      <c r="E476" s="423">
        <v>23568.6</v>
      </c>
      <c r="H476" s="414"/>
    </row>
    <row r="477" spans="1:5" ht="15.75">
      <c r="A477" s="413" t="s">
        <v>265</v>
      </c>
      <c r="B477" s="416" t="s">
        <v>266</v>
      </c>
      <c r="C477" s="416" t="s">
        <v>346</v>
      </c>
      <c r="D477" s="423">
        <v>1460</v>
      </c>
      <c r="E477" s="423">
        <v>1456.55</v>
      </c>
    </row>
    <row r="478" spans="1:5" ht="15.75">
      <c r="A478" s="413" t="s">
        <v>265</v>
      </c>
      <c r="B478" s="416" t="s">
        <v>266</v>
      </c>
      <c r="C478" s="416" t="s">
        <v>330</v>
      </c>
      <c r="D478" s="423">
        <v>150</v>
      </c>
      <c r="E478" s="423">
        <v>148.9</v>
      </c>
    </row>
    <row r="479" spans="1:5" ht="15.75">
      <c r="A479" s="413" t="s">
        <v>265</v>
      </c>
      <c r="B479" s="416" t="s">
        <v>266</v>
      </c>
      <c r="C479" s="416" t="s">
        <v>347</v>
      </c>
      <c r="D479" s="423">
        <v>3010</v>
      </c>
      <c r="E479" s="423">
        <v>3000.12</v>
      </c>
    </row>
    <row r="480" spans="1:5" ht="15.75">
      <c r="A480" s="413" t="s">
        <v>265</v>
      </c>
      <c r="B480" s="416" t="s">
        <v>266</v>
      </c>
      <c r="C480" s="416" t="s">
        <v>391</v>
      </c>
      <c r="D480" s="423">
        <v>3700</v>
      </c>
      <c r="E480" s="423">
        <v>3298.64</v>
      </c>
    </row>
    <row r="481" spans="1:5" ht="15.75">
      <c r="A481" s="413" t="s">
        <v>265</v>
      </c>
      <c r="B481" s="416" t="s">
        <v>266</v>
      </c>
      <c r="C481" s="416" t="s">
        <v>389</v>
      </c>
      <c r="D481" s="423">
        <v>670</v>
      </c>
      <c r="E481" s="423">
        <v>670</v>
      </c>
    </row>
    <row r="482" spans="1:5" ht="15.75">
      <c r="A482" s="413" t="s">
        <v>265</v>
      </c>
      <c r="B482" s="416" t="s">
        <v>266</v>
      </c>
      <c r="C482" s="416" t="s">
        <v>321</v>
      </c>
      <c r="D482" s="423">
        <v>1927</v>
      </c>
      <c r="E482" s="423">
        <v>1919.88</v>
      </c>
    </row>
    <row r="484" spans="1:7" ht="15.75">
      <c r="A484" s="417" t="s">
        <v>265</v>
      </c>
      <c r="B484" s="418" t="s">
        <v>279</v>
      </c>
      <c r="C484" s="418" t="s">
        <v>392</v>
      </c>
      <c r="D484" s="424">
        <v>17425</v>
      </c>
      <c r="E484" s="424">
        <v>17425</v>
      </c>
      <c r="F484" s="424">
        <f>D484+D485</f>
        <v>26421</v>
      </c>
      <c r="G484" s="424">
        <f>E484+E485</f>
        <v>26411.33</v>
      </c>
    </row>
    <row r="485" spans="1:8" ht="15.75">
      <c r="A485" s="417" t="s">
        <v>265</v>
      </c>
      <c r="B485" s="418" t="s">
        <v>279</v>
      </c>
      <c r="C485" s="418" t="s">
        <v>392</v>
      </c>
      <c r="D485" s="424">
        <v>8996</v>
      </c>
      <c r="E485" s="424">
        <v>8986.33</v>
      </c>
      <c r="H485" s="414"/>
    </row>
    <row r="486" spans="1:8" ht="15.75">
      <c r="A486" s="419"/>
      <c r="B486" s="420"/>
      <c r="C486" s="420"/>
      <c r="D486" s="425"/>
      <c r="E486" s="425"/>
      <c r="H486" s="414"/>
    </row>
    <row r="487" spans="1:7" ht="15.75">
      <c r="A487" s="413" t="s">
        <v>265</v>
      </c>
      <c r="B487" s="416" t="s">
        <v>272</v>
      </c>
      <c r="C487" s="416" t="s">
        <v>369</v>
      </c>
      <c r="D487" s="423">
        <v>113234</v>
      </c>
      <c r="E487" s="423">
        <v>112285.16</v>
      </c>
      <c r="F487" s="423">
        <f>SUM(D487:D490)</f>
        <v>1008760</v>
      </c>
      <c r="G487" s="423">
        <f>SUM(E487:E490)</f>
        <v>1000853.96</v>
      </c>
    </row>
    <row r="488" spans="1:5" ht="15.75">
      <c r="A488" s="413" t="s">
        <v>265</v>
      </c>
      <c r="B488" s="416" t="s">
        <v>272</v>
      </c>
      <c r="C488" s="416" t="s">
        <v>369</v>
      </c>
      <c r="D488" s="423">
        <v>150597</v>
      </c>
      <c r="E488" s="423">
        <v>150596.8</v>
      </c>
    </row>
    <row r="489" spans="1:5" ht="15.75">
      <c r="A489" s="413" t="s">
        <v>265</v>
      </c>
      <c r="B489" s="416" t="s">
        <v>272</v>
      </c>
      <c r="C489" s="416" t="s">
        <v>369</v>
      </c>
      <c r="D489" s="423">
        <v>208920</v>
      </c>
      <c r="E489" s="423">
        <v>202240.07</v>
      </c>
    </row>
    <row r="490" spans="1:8" ht="15.75">
      <c r="A490" s="413" t="s">
        <v>265</v>
      </c>
      <c r="B490" s="416" t="s">
        <v>272</v>
      </c>
      <c r="C490" s="416" t="s">
        <v>369</v>
      </c>
      <c r="D490" s="423">
        <v>536009</v>
      </c>
      <c r="E490" s="423">
        <v>535731.93</v>
      </c>
      <c r="H490" s="414"/>
    </row>
    <row r="491" ht="15.75">
      <c r="H491" s="414"/>
    </row>
    <row r="492" spans="1:5" ht="15.75">
      <c r="A492" s="413" t="s">
        <v>265</v>
      </c>
      <c r="B492" s="416" t="s">
        <v>393</v>
      </c>
      <c r="C492" s="416" t="s">
        <v>369</v>
      </c>
      <c r="D492" s="423">
        <v>829651.81</v>
      </c>
      <c r="E492" s="423">
        <v>827425.09</v>
      </c>
    </row>
    <row r="494" spans="1:5" ht="15.75">
      <c r="A494" s="413" t="s">
        <v>265</v>
      </c>
      <c r="B494" s="416" t="s">
        <v>270</v>
      </c>
      <c r="C494" s="416" t="s">
        <v>322</v>
      </c>
      <c r="D494" s="423">
        <v>6264</v>
      </c>
      <c r="E494" s="423">
        <v>6259.24</v>
      </c>
    </row>
    <row r="495" spans="1:5" ht="15.75">
      <c r="A495" s="413" t="s">
        <v>265</v>
      </c>
      <c r="B495" s="416" t="s">
        <v>270</v>
      </c>
      <c r="C495" s="416" t="s">
        <v>500</v>
      </c>
      <c r="D495" s="423">
        <v>31080</v>
      </c>
      <c r="E495" s="423">
        <v>31080</v>
      </c>
    </row>
    <row r="496" spans="1:7" ht="15.75">
      <c r="A496" s="417" t="s">
        <v>265</v>
      </c>
      <c r="B496" s="418" t="s">
        <v>270</v>
      </c>
      <c r="C496" s="418" t="s">
        <v>323</v>
      </c>
      <c r="D496" s="424">
        <v>180400</v>
      </c>
      <c r="E496" s="424">
        <v>0</v>
      </c>
      <c r="F496" s="424">
        <f>SUM(D496:D512)</f>
        <v>632036</v>
      </c>
      <c r="G496" s="424">
        <f>SUM(E496:E512)</f>
        <v>630636.7000000001</v>
      </c>
    </row>
    <row r="497" spans="1:8" ht="15.75">
      <c r="A497" s="417" t="s">
        <v>265</v>
      </c>
      <c r="B497" s="418" t="s">
        <v>270</v>
      </c>
      <c r="C497" s="418" t="s">
        <v>323</v>
      </c>
      <c r="D497" s="424">
        <v>202475</v>
      </c>
      <c r="E497" s="424">
        <v>382874.38</v>
      </c>
      <c r="F497" s="423">
        <f>SUM(D513:D540)+D494+D495</f>
        <v>247114</v>
      </c>
      <c r="G497" s="423">
        <f>SUM(E513:E540)+E494+E495</f>
        <v>246628.57000000004</v>
      </c>
      <c r="H497" s="414"/>
    </row>
    <row r="498" spans="1:5" ht="15.75">
      <c r="A498" s="417" t="s">
        <v>265</v>
      </c>
      <c r="B498" s="418" t="s">
        <v>270</v>
      </c>
      <c r="C498" s="418" t="s">
        <v>383</v>
      </c>
      <c r="D498" s="424">
        <v>102573.1</v>
      </c>
      <c r="E498" s="424">
        <v>102321.32</v>
      </c>
    </row>
    <row r="499" spans="1:5" ht="15.75">
      <c r="A499" s="417" t="s">
        <v>265</v>
      </c>
      <c r="B499" s="418" t="s">
        <v>270</v>
      </c>
      <c r="C499" s="418" t="s">
        <v>501</v>
      </c>
      <c r="D499" s="424">
        <v>5426.9</v>
      </c>
      <c r="E499" s="424">
        <v>5419.36</v>
      </c>
    </row>
    <row r="500" spans="1:5" ht="15.75">
      <c r="A500" s="417" t="s">
        <v>265</v>
      </c>
      <c r="B500" s="418" t="s">
        <v>270</v>
      </c>
      <c r="C500" s="418" t="s">
        <v>324</v>
      </c>
      <c r="D500" s="424">
        <v>12660</v>
      </c>
      <c r="E500" s="424">
        <v>27655.53</v>
      </c>
    </row>
    <row r="501" spans="1:8" ht="15.75">
      <c r="A501" s="417" t="s">
        <v>265</v>
      </c>
      <c r="B501" s="418" t="s">
        <v>270</v>
      </c>
      <c r="C501" s="418" t="s">
        <v>324</v>
      </c>
      <c r="D501" s="424">
        <v>15000</v>
      </c>
      <c r="E501" s="424">
        <v>0</v>
      </c>
      <c r="H501" s="414"/>
    </row>
    <row r="502" spans="1:5" ht="15.75">
      <c r="A502" s="417" t="s">
        <v>265</v>
      </c>
      <c r="B502" s="418" t="s">
        <v>270</v>
      </c>
      <c r="C502" s="418" t="s">
        <v>325</v>
      </c>
      <c r="D502" s="424">
        <v>29330</v>
      </c>
      <c r="E502" s="424">
        <v>62722.14</v>
      </c>
    </row>
    <row r="503" spans="1:8" ht="15.75">
      <c r="A503" s="417" t="s">
        <v>265</v>
      </c>
      <c r="B503" s="418" t="s">
        <v>270</v>
      </c>
      <c r="C503" s="418" t="s">
        <v>325</v>
      </c>
      <c r="D503" s="424">
        <v>33400</v>
      </c>
      <c r="E503" s="424">
        <v>0</v>
      </c>
      <c r="H503" s="414"/>
    </row>
    <row r="504" spans="1:5" ht="15.75">
      <c r="A504" s="417" t="s">
        <v>265</v>
      </c>
      <c r="B504" s="418" t="s">
        <v>270</v>
      </c>
      <c r="C504" s="418" t="s">
        <v>384</v>
      </c>
      <c r="D504" s="424">
        <v>16144.9</v>
      </c>
      <c r="E504" s="424">
        <v>15502.03</v>
      </c>
    </row>
    <row r="505" spans="1:5" ht="15.75">
      <c r="A505" s="417" t="s">
        <v>265</v>
      </c>
      <c r="B505" s="418" t="s">
        <v>270</v>
      </c>
      <c r="C505" s="418" t="s">
        <v>493</v>
      </c>
      <c r="D505" s="424">
        <v>855.1</v>
      </c>
      <c r="E505" s="424">
        <v>821.05</v>
      </c>
    </row>
    <row r="506" spans="1:5" ht="15.75">
      <c r="A506" s="417" t="s">
        <v>265</v>
      </c>
      <c r="B506" s="418" t="s">
        <v>270</v>
      </c>
      <c r="C506" s="418" t="s">
        <v>326</v>
      </c>
      <c r="D506" s="424">
        <v>4610</v>
      </c>
      <c r="E506" s="424">
        <v>9208.04</v>
      </c>
    </row>
    <row r="507" spans="1:8" ht="15.75">
      <c r="A507" s="417" t="s">
        <v>265</v>
      </c>
      <c r="B507" s="418" t="s">
        <v>270</v>
      </c>
      <c r="C507" s="418" t="s">
        <v>326</v>
      </c>
      <c r="D507" s="424">
        <v>4600</v>
      </c>
      <c r="E507" s="424">
        <v>0</v>
      </c>
      <c r="H507" s="414"/>
    </row>
    <row r="508" spans="1:5" ht="15.75">
      <c r="A508" s="417" t="s">
        <v>265</v>
      </c>
      <c r="B508" s="418" t="s">
        <v>270</v>
      </c>
      <c r="C508" s="418" t="s">
        <v>385</v>
      </c>
      <c r="D508" s="424">
        <v>2375.2</v>
      </c>
      <c r="E508" s="424">
        <v>2281.73</v>
      </c>
    </row>
    <row r="509" spans="1:5" ht="15.75">
      <c r="A509" s="417" t="s">
        <v>265</v>
      </c>
      <c r="B509" s="418" t="s">
        <v>270</v>
      </c>
      <c r="C509" s="418" t="s">
        <v>494</v>
      </c>
      <c r="D509" s="424">
        <v>125.8</v>
      </c>
      <c r="E509" s="424">
        <v>120.85</v>
      </c>
    </row>
    <row r="510" spans="1:5" ht="15.75">
      <c r="A510" s="417" t="s">
        <v>265</v>
      </c>
      <c r="B510" s="418" t="s">
        <v>270</v>
      </c>
      <c r="C510" s="418" t="s">
        <v>327</v>
      </c>
      <c r="D510" s="424">
        <v>5060</v>
      </c>
      <c r="E510" s="424">
        <v>5055.87</v>
      </c>
    </row>
    <row r="511" spans="1:5" ht="15.75">
      <c r="A511" s="417" t="s">
        <v>265</v>
      </c>
      <c r="B511" s="418" t="s">
        <v>270</v>
      </c>
      <c r="C511" s="418" t="s">
        <v>386</v>
      </c>
      <c r="D511" s="424">
        <v>16144.9</v>
      </c>
      <c r="E511" s="424">
        <v>15816.68</v>
      </c>
    </row>
    <row r="512" spans="1:5" ht="15.75">
      <c r="A512" s="417" t="s">
        <v>265</v>
      </c>
      <c r="B512" s="418" t="s">
        <v>270</v>
      </c>
      <c r="C512" s="418" t="s">
        <v>495</v>
      </c>
      <c r="D512" s="424">
        <v>855.1</v>
      </c>
      <c r="E512" s="424">
        <v>837.72</v>
      </c>
    </row>
    <row r="513" spans="1:5" ht="15.75">
      <c r="A513" s="413" t="s">
        <v>265</v>
      </c>
      <c r="B513" s="416" t="s">
        <v>270</v>
      </c>
      <c r="C513" s="416" t="s">
        <v>328</v>
      </c>
      <c r="D513" s="423">
        <v>2000</v>
      </c>
      <c r="E513" s="423">
        <v>0</v>
      </c>
    </row>
    <row r="514" spans="1:8" ht="15.75">
      <c r="A514" s="413" t="s">
        <v>265</v>
      </c>
      <c r="B514" s="416" t="s">
        <v>270</v>
      </c>
      <c r="C514" s="416" t="s">
        <v>328</v>
      </c>
      <c r="D514" s="423">
        <v>13760</v>
      </c>
      <c r="E514" s="423">
        <v>15757.92</v>
      </c>
      <c r="H514" s="414"/>
    </row>
    <row r="515" spans="1:5" ht="15.75">
      <c r="A515" s="413" t="s">
        <v>265</v>
      </c>
      <c r="B515" s="416" t="s">
        <v>270</v>
      </c>
      <c r="C515" s="416" t="s">
        <v>387</v>
      </c>
      <c r="D515" s="423">
        <v>3625</v>
      </c>
      <c r="E515" s="423">
        <v>3594.05</v>
      </c>
    </row>
    <row r="516" spans="1:5" ht="15.75">
      <c r="A516" s="413" t="s">
        <v>265</v>
      </c>
      <c r="B516" s="416" t="s">
        <v>270</v>
      </c>
      <c r="C516" s="416" t="s">
        <v>490</v>
      </c>
      <c r="D516" s="423">
        <v>192</v>
      </c>
      <c r="E516" s="423">
        <v>190.36</v>
      </c>
    </row>
    <row r="517" spans="1:5" ht="15.75">
      <c r="A517" s="413" t="s">
        <v>265</v>
      </c>
      <c r="B517" s="416" t="s">
        <v>270</v>
      </c>
      <c r="C517" s="416" t="s">
        <v>337</v>
      </c>
      <c r="D517" s="423">
        <v>3000</v>
      </c>
      <c r="E517" s="423">
        <v>0</v>
      </c>
    </row>
    <row r="518" spans="1:8" ht="15.75">
      <c r="A518" s="413" t="s">
        <v>265</v>
      </c>
      <c r="B518" s="416" t="s">
        <v>270</v>
      </c>
      <c r="C518" s="416" t="s">
        <v>337</v>
      </c>
      <c r="D518" s="423">
        <v>7210</v>
      </c>
      <c r="E518" s="423">
        <v>10201.01</v>
      </c>
      <c r="H518" s="414"/>
    </row>
    <row r="519" spans="1:5" ht="15.75">
      <c r="A519" s="413" t="s">
        <v>265</v>
      </c>
      <c r="B519" s="416" t="s">
        <v>270</v>
      </c>
      <c r="C519" s="416" t="s">
        <v>329</v>
      </c>
      <c r="D519" s="423">
        <v>440</v>
      </c>
      <c r="E519" s="423">
        <v>436</v>
      </c>
    </row>
    <row r="520" spans="1:5" ht="15.75">
      <c r="A520" s="413" t="s">
        <v>265</v>
      </c>
      <c r="B520" s="416" t="s">
        <v>270</v>
      </c>
      <c r="C520" s="416" t="s">
        <v>502</v>
      </c>
      <c r="D520" s="423">
        <v>1410.3</v>
      </c>
      <c r="E520" s="423">
        <v>1405.56</v>
      </c>
    </row>
    <row r="521" spans="1:5" ht="15.75">
      <c r="A521" s="413" t="s">
        <v>265</v>
      </c>
      <c r="B521" s="416" t="s">
        <v>270</v>
      </c>
      <c r="C521" s="416" t="s">
        <v>503</v>
      </c>
      <c r="D521" s="423">
        <v>74.7</v>
      </c>
      <c r="E521" s="423">
        <v>74.44</v>
      </c>
    </row>
    <row r="522" spans="1:5" ht="15.75">
      <c r="A522" s="413" t="s">
        <v>265</v>
      </c>
      <c r="B522" s="416" t="s">
        <v>270</v>
      </c>
      <c r="C522" s="416" t="s">
        <v>319</v>
      </c>
      <c r="D522" s="423">
        <v>2000</v>
      </c>
      <c r="E522" s="423">
        <v>0</v>
      </c>
    </row>
    <row r="523" spans="1:8" ht="15.75">
      <c r="A523" s="413" t="s">
        <v>265</v>
      </c>
      <c r="B523" s="416" t="s">
        <v>270</v>
      </c>
      <c r="C523" s="416" t="s">
        <v>319</v>
      </c>
      <c r="D523" s="423">
        <v>27463</v>
      </c>
      <c r="E523" s="423">
        <v>29462.2</v>
      </c>
      <c r="H523" s="414"/>
    </row>
    <row r="524" spans="1:5" ht="15.75">
      <c r="A524" s="413" t="s">
        <v>265</v>
      </c>
      <c r="B524" s="416" t="s">
        <v>270</v>
      </c>
      <c r="C524" s="416" t="s">
        <v>388</v>
      </c>
      <c r="D524" s="423">
        <v>100003.4</v>
      </c>
      <c r="E524" s="423">
        <v>99945.48</v>
      </c>
    </row>
    <row r="525" spans="1:5" ht="15.75">
      <c r="A525" s="413" t="s">
        <v>265</v>
      </c>
      <c r="B525" s="416" t="s">
        <v>270</v>
      </c>
      <c r="C525" s="416" t="s">
        <v>499</v>
      </c>
      <c r="D525" s="423">
        <v>5296.6</v>
      </c>
      <c r="E525" s="423">
        <v>5293.52</v>
      </c>
    </row>
    <row r="526" spans="1:5" ht="15.75">
      <c r="A526" s="413" t="s">
        <v>265</v>
      </c>
      <c r="B526" s="416" t="s">
        <v>270</v>
      </c>
      <c r="C526" s="416" t="s">
        <v>344</v>
      </c>
      <c r="D526" s="423">
        <v>893</v>
      </c>
      <c r="E526" s="423">
        <v>892.99</v>
      </c>
    </row>
    <row r="527" spans="1:5" ht="15.75">
      <c r="A527" s="413" t="s">
        <v>265</v>
      </c>
      <c r="B527" s="416" t="s">
        <v>270</v>
      </c>
      <c r="C527" s="416" t="s">
        <v>504</v>
      </c>
      <c r="D527" s="423">
        <v>949.7</v>
      </c>
      <c r="E527" s="423">
        <v>858.76</v>
      </c>
    </row>
    <row r="528" spans="1:5" ht="15.75">
      <c r="A528" s="413" t="s">
        <v>265</v>
      </c>
      <c r="B528" s="416" t="s">
        <v>270</v>
      </c>
      <c r="C528" s="416" t="s">
        <v>505</v>
      </c>
      <c r="D528" s="423">
        <v>50.3</v>
      </c>
      <c r="E528" s="423">
        <v>45.48</v>
      </c>
    </row>
    <row r="529" spans="1:5" ht="15.75">
      <c r="A529" s="413" t="s">
        <v>265</v>
      </c>
      <c r="B529" s="416" t="s">
        <v>270</v>
      </c>
      <c r="C529" s="416" t="s">
        <v>346</v>
      </c>
      <c r="D529" s="423">
        <v>3405</v>
      </c>
      <c r="E529" s="423">
        <v>3403.61</v>
      </c>
    </row>
    <row r="530" spans="1:5" ht="15.75">
      <c r="A530" s="413" t="s">
        <v>265</v>
      </c>
      <c r="B530" s="416" t="s">
        <v>270</v>
      </c>
      <c r="C530" s="416" t="s">
        <v>330</v>
      </c>
      <c r="D530" s="423">
        <v>1400</v>
      </c>
      <c r="E530" s="423">
        <v>1398.57</v>
      </c>
    </row>
    <row r="531" spans="1:5" ht="15.75">
      <c r="A531" s="413" t="s">
        <v>265</v>
      </c>
      <c r="B531" s="416" t="s">
        <v>270</v>
      </c>
      <c r="C531" s="416" t="s">
        <v>320</v>
      </c>
      <c r="D531" s="423">
        <v>1000</v>
      </c>
      <c r="E531" s="423">
        <v>991</v>
      </c>
    </row>
    <row r="532" spans="1:5" ht="15.75">
      <c r="A532" s="413" t="s">
        <v>265</v>
      </c>
      <c r="B532" s="416" t="s">
        <v>270</v>
      </c>
      <c r="C532" s="416" t="s">
        <v>347</v>
      </c>
      <c r="D532" s="423">
        <v>2000</v>
      </c>
      <c r="E532" s="423">
        <v>0</v>
      </c>
    </row>
    <row r="533" spans="1:8" ht="15.75">
      <c r="A533" s="413" t="s">
        <v>265</v>
      </c>
      <c r="B533" s="416" t="s">
        <v>270</v>
      </c>
      <c r="C533" s="416" t="s">
        <v>347</v>
      </c>
      <c r="D533" s="423">
        <v>10448</v>
      </c>
      <c r="E533" s="423">
        <v>12447.16</v>
      </c>
      <c r="H533" s="414"/>
    </row>
    <row r="534" spans="1:5" ht="15.75">
      <c r="A534" s="413" t="s">
        <v>265</v>
      </c>
      <c r="B534" s="416" t="s">
        <v>270</v>
      </c>
      <c r="C534" s="416" t="s">
        <v>506</v>
      </c>
      <c r="D534" s="423">
        <v>1725.6</v>
      </c>
      <c r="E534" s="423">
        <v>1709.54</v>
      </c>
    </row>
    <row r="535" spans="1:5" ht="15.75">
      <c r="A535" s="413" t="s">
        <v>265</v>
      </c>
      <c r="B535" s="416" t="s">
        <v>270</v>
      </c>
      <c r="C535" s="416" t="s">
        <v>507</v>
      </c>
      <c r="D535" s="423">
        <v>91.4</v>
      </c>
      <c r="E535" s="423">
        <v>90.54</v>
      </c>
    </row>
    <row r="536" spans="1:5" ht="15.75">
      <c r="A536" s="413" t="s">
        <v>265</v>
      </c>
      <c r="B536" s="416" t="s">
        <v>270</v>
      </c>
      <c r="C536" s="416" t="s">
        <v>389</v>
      </c>
      <c r="D536" s="423">
        <v>3350</v>
      </c>
      <c r="E536" s="423">
        <v>3350</v>
      </c>
    </row>
    <row r="537" spans="1:5" ht="15.75">
      <c r="A537" s="413" t="s">
        <v>265</v>
      </c>
      <c r="B537" s="416" t="s">
        <v>270</v>
      </c>
      <c r="C537" s="416" t="s">
        <v>508</v>
      </c>
      <c r="D537" s="423">
        <v>6647.9</v>
      </c>
      <c r="E537" s="423">
        <v>6419.97</v>
      </c>
    </row>
    <row r="538" spans="1:5" ht="15.75">
      <c r="A538" s="413" t="s">
        <v>265</v>
      </c>
      <c r="B538" s="416" t="s">
        <v>270</v>
      </c>
      <c r="C538" s="416" t="s">
        <v>509</v>
      </c>
      <c r="D538" s="423">
        <v>352.1</v>
      </c>
      <c r="E538" s="423">
        <v>340.03</v>
      </c>
    </row>
    <row r="539" spans="1:5" ht="15.75">
      <c r="A539" s="413" t="s">
        <v>265</v>
      </c>
      <c r="B539" s="416" t="s">
        <v>270</v>
      </c>
      <c r="C539" s="416" t="s">
        <v>348</v>
      </c>
      <c r="D539" s="423">
        <v>1201</v>
      </c>
      <c r="E539" s="423">
        <v>1200.23</v>
      </c>
    </row>
    <row r="540" spans="1:5" ht="15.75">
      <c r="A540" s="413" t="s">
        <v>265</v>
      </c>
      <c r="B540" s="416" t="s">
        <v>270</v>
      </c>
      <c r="C540" s="416" t="s">
        <v>321</v>
      </c>
      <c r="D540" s="423">
        <v>9781</v>
      </c>
      <c r="E540" s="423">
        <v>9780.91</v>
      </c>
    </row>
    <row r="542" spans="1:7" ht="15.75">
      <c r="A542" s="413" t="s">
        <v>265</v>
      </c>
      <c r="B542" s="416" t="s">
        <v>273</v>
      </c>
      <c r="C542" s="416" t="s">
        <v>369</v>
      </c>
      <c r="D542" s="423">
        <v>122566</v>
      </c>
      <c r="E542" s="423">
        <v>99501.47</v>
      </c>
      <c r="F542" s="423">
        <f>D542+D543</f>
        <v>247802</v>
      </c>
      <c r="G542" s="423">
        <f>E542+E543</f>
        <v>213236.75</v>
      </c>
    </row>
    <row r="543" spans="1:8" ht="15.75">
      <c r="A543" s="413" t="s">
        <v>265</v>
      </c>
      <c r="B543" s="416" t="s">
        <v>273</v>
      </c>
      <c r="C543" s="416" t="s">
        <v>369</v>
      </c>
      <c r="D543" s="423">
        <v>125236</v>
      </c>
      <c r="E543" s="423">
        <v>113735.28</v>
      </c>
      <c r="H543" s="414"/>
    </row>
    <row r="544" ht="15.75">
      <c r="H544" s="414"/>
    </row>
    <row r="545" spans="1:7" ht="15.75">
      <c r="A545" s="413" t="s">
        <v>265</v>
      </c>
      <c r="B545" s="416" t="s">
        <v>280</v>
      </c>
      <c r="C545" s="416" t="s">
        <v>322</v>
      </c>
      <c r="D545" s="423">
        <v>1060</v>
      </c>
      <c r="E545" s="423">
        <v>1028.97</v>
      </c>
      <c r="F545" s="423">
        <f>SUM(D545:D551)</f>
        <v>661465.88</v>
      </c>
      <c r="G545" s="423">
        <f>SUM(E545:E551)</f>
        <v>659296.14</v>
      </c>
    </row>
    <row r="546" spans="1:5" ht="15.75">
      <c r="A546" s="413" t="s">
        <v>265</v>
      </c>
      <c r="B546" s="416" t="s">
        <v>280</v>
      </c>
      <c r="C546" s="416" t="s">
        <v>369</v>
      </c>
      <c r="D546" s="423">
        <v>488550</v>
      </c>
      <c r="E546" s="423">
        <v>488549.27</v>
      </c>
    </row>
    <row r="547" spans="1:5" ht="15.75">
      <c r="A547" s="413" t="s">
        <v>265</v>
      </c>
      <c r="B547" s="416" t="s">
        <v>280</v>
      </c>
      <c r="C547" s="416" t="s">
        <v>369</v>
      </c>
      <c r="D547" s="423">
        <v>20040</v>
      </c>
      <c r="E547" s="423">
        <v>19230.6</v>
      </c>
    </row>
    <row r="548" spans="1:8" ht="15.75">
      <c r="A548" s="413" t="s">
        <v>265</v>
      </c>
      <c r="B548" s="416" t="s">
        <v>280</v>
      </c>
      <c r="C548" s="416" t="s">
        <v>369</v>
      </c>
      <c r="D548" s="423">
        <v>150000</v>
      </c>
      <c r="E548" s="423">
        <v>149999.77</v>
      </c>
      <c r="H548" s="414"/>
    </row>
    <row r="549" spans="1:5" ht="15.75">
      <c r="A549" s="413" t="s">
        <v>265</v>
      </c>
      <c r="B549" s="416" t="s">
        <v>280</v>
      </c>
      <c r="C549" s="416" t="s">
        <v>319</v>
      </c>
      <c r="D549" s="423">
        <v>500</v>
      </c>
      <c r="E549" s="423">
        <v>23.18</v>
      </c>
    </row>
    <row r="550" spans="1:8" ht="15.75">
      <c r="A550" s="413" t="s">
        <v>265</v>
      </c>
      <c r="B550" s="416" t="s">
        <v>280</v>
      </c>
      <c r="C550" s="416" t="s">
        <v>319</v>
      </c>
      <c r="D550" s="423">
        <v>1240</v>
      </c>
      <c r="E550" s="423">
        <v>388.47</v>
      </c>
      <c r="H550" s="414"/>
    </row>
    <row r="551" spans="1:5" ht="15.75">
      <c r="A551" s="413" t="s">
        <v>265</v>
      </c>
      <c r="B551" s="416" t="s">
        <v>280</v>
      </c>
      <c r="C551" s="416" t="s">
        <v>391</v>
      </c>
      <c r="D551" s="423">
        <v>75.88</v>
      </c>
      <c r="E551" s="423">
        <v>75.88</v>
      </c>
    </row>
    <row r="553" spans="1:5" ht="15.75">
      <c r="A553" s="419" t="s">
        <v>560</v>
      </c>
      <c r="B553" s="420" t="s">
        <v>561</v>
      </c>
      <c r="C553" s="420" t="s">
        <v>390</v>
      </c>
      <c r="D553" s="425">
        <v>6587.99</v>
      </c>
      <c r="E553" s="425">
        <v>6587.99</v>
      </c>
    </row>
    <row r="554" spans="1:5" ht="15.75">
      <c r="A554" s="419"/>
      <c r="B554" s="420"/>
      <c r="C554" s="420"/>
      <c r="D554" s="425"/>
      <c r="E554" s="425"/>
    </row>
    <row r="555" spans="1:5" ht="15.75">
      <c r="A555" s="413" t="s">
        <v>281</v>
      </c>
      <c r="B555" s="416" t="s">
        <v>394</v>
      </c>
      <c r="C555" s="416" t="s">
        <v>322</v>
      </c>
      <c r="D555" s="423">
        <v>5797</v>
      </c>
      <c r="E555" s="423">
        <v>5652.35</v>
      </c>
    </row>
    <row r="556" spans="1:7" ht="15.75">
      <c r="A556" s="417" t="s">
        <v>281</v>
      </c>
      <c r="B556" s="418" t="s">
        <v>394</v>
      </c>
      <c r="C556" s="418" t="s">
        <v>323</v>
      </c>
      <c r="D556" s="424">
        <v>164983.18</v>
      </c>
      <c r="E556" s="424">
        <v>164472.69</v>
      </c>
      <c r="F556" s="424">
        <f>D556+D557+D558+D559</f>
        <v>207459.22999999998</v>
      </c>
      <c r="G556" s="424">
        <f>E556+E557+E558+E559</f>
        <v>206577.17</v>
      </c>
    </row>
    <row r="557" spans="1:7" ht="15.75">
      <c r="A557" s="417" t="s">
        <v>281</v>
      </c>
      <c r="B557" s="418" t="s">
        <v>394</v>
      </c>
      <c r="C557" s="418" t="s">
        <v>324</v>
      </c>
      <c r="D557" s="424">
        <v>11865.99</v>
      </c>
      <c r="E557" s="424">
        <v>11561.4</v>
      </c>
      <c r="F557" s="423">
        <f>D555+SUM(D560:D570)</f>
        <v>34292.770000000004</v>
      </c>
      <c r="G557" s="423">
        <f>E555+SUM(E560:E570)</f>
        <v>28926.93</v>
      </c>
    </row>
    <row r="558" spans="1:5" ht="15.75">
      <c r="A558" s="417" t="s">
        <v>281</v>
      </c>
      <c r="B558" s="418" t="s">
        <v>394</v>
      </c>
      <c r="C558" s="418" t="s">
        <v>325</v>
      </c>
      <c r="D558" s="424">
        <v>26277.74</v>
      </c>
      <c r="E558" s="424">
        <v>26232.38</v>
      </c>
    </row>
    <row r="559" spans="1:5" ht="15.75">
      <c r="A559" s="417" t="s">
        <v>281</v>
      </c>
      <c r="B559" s="418" t="s">
        <v>394</v>
      </c>
      <c r="C559" s="418" t="s">
        <v>326</v>
      </c>
      <c r="D559" s="424">
        <v>4332.32</v>
      </c>
      <c r="E559" s="424">
        <v>4310.7</v>
      </c>
    </row>
    <row r="560" spans="1:5" ht="15.75">
      <c r="A560" s="413" t="s">
        <v>281</v>
      </c>
      <c r="B560" s="416" t="s">
        <v>394</v>
      </c>
      <c r="C560" s="416" t="s">
        <v>328</v>
      </c>
      <c r="D560" s="423">
        <v>4783.45</v>
      </c>
      <c r="E560" s="423">
        <v>3102.25</v>
      </c>
    </row>
    <row r="561" spans="1:5" ht="15.75">
      <c r="A561" s="413" t="s">
        <v>281</v>
      </c>
      <c r="B561" s="416" t="s">
        <v>394</v>
      </c>
      <c r="C561" s="416" t="s">
        <v>370</v>
      </c>
      <c r="D561" s="423">
        <v>1321</v>
      </c>
      <c r="E561" s="423">
        <v>820.77</v>
      </c>
    </row>
    <row r="562" spans="1:5" ht="15.75">
      <c r="A562" s="413" t="s">
        <v>281</v>
      </c>
      <c r="B562" s="416" t="s">
        <v>394</v>
      </c>
      <c r="C562" s="416" t="s">
        <v>337</v>
      </c>
      <c r="D562" s="423">
        <v>1369</v>
      </c>
      <c r="E562" s="423">
        <v>1023.03</v>
      </c>
    </row>
    <row r="563" spans="1:5" ht="15.75">
      <c r="A563" s="413" t="s">
        <v>281</v>
      </c>
      <c r="B563" s="416" t="s">
        <v>394</v>
      </c>
      <c r="C563" s="416" t="s">
        <v>329</v>
      </c>
      <c r="D563" s="423">
        <v>319</v>
      </c>
      <c r="E563" s="423">
        <v>147.85</v>
      </c>
    </row>
    <row r="564" spans="1:5" ht="15.75">
      <c r="A564" s="413" t="s">
        <v>281</v>
      </c>
      <c r="B564" s="416" t="s">
        <v>394</v>
      </c>
      <c r="C564" s="416" t="s">
        <v>319</v>
      </c>
      <c r="D564" s="423">
        <v>4555</v>
      </c>
      <c r="E564" s="423">
        <v>4244.18</v>
      </c>
    </row>
    <row r="565" spans="1:5" ht="15.75">
      <c r="A565" s="413" t="s">
        <v>281</v>
      </c>
      <c r="B565" s="416" t="s">
        <v>394</v>
      </c>
      <c r="C565" s="416" t="s">
        <v>346</v>
      </c>
      <c r="D565" s="423">
        <v>700</v>
      </c>
      <c r="E565" s="423">
        <v>496.98</v>
      </c>
    </row>
    <row r="566" spans="1:5" ht="15.75">
      <c r="A566" s="413" t="s">
        <v>281</v>
      </c>
      <c r="B566" s="416" t="s">
        <v>394</v>
      </c>
      <c r="C566" s="416" t="s">
        <v>330</v>
      </c>
      <c r="D566" s="423">
        <v>260</v>
      </c>
      <c r="E566" s="423">
        <v>60</v>
      </c>
    </row>
    <row r="567" spans="1:5" ht="15.75">
      <c r="A567" s="413" t="s">
        <v>281</v>
      </c>
      <c r="B567" s="416" t="s">
        <v>394</v>
      </c>
      <c r="C567" s="416" t="s">
        <v>347</v>
      </c>
      <c r="D567" s="423">
        <v>14743.32</v>
      </c>
      <c r="E567" s="423">
        <v>13328.84</v>
      </c>
    </row>
    <row r="568" spans="1:5" ht="15.75">
      <c r="A568" s="413" t="s">
        <v>281</v>
      </c>
      <c r="B568" s="416" t="s">
        <v>394</v>
      </c>
      <c r="C568" s="416" t="s">
        <v>389</v>
      </c>
      <c r="D568" s="423">
        <v>45</v>
      </c>
      <c r="E568" s="423">
        <v>45</v>
      </c>
    </row>
    <row r="569" spans="1:5" ht="15.75">
      <c r="A569" s="413" t="s">
        <v>281</v>
      </c>
      <c r="B569" s="416" t="s">
        <v>394</v>
      </c>
      <c r="C569" s="416" t="s">
        <v>348</v>
      </c>
      <c r="D569" s="423">
        <v>200</v>
      </c>
      <c r="E569" s="423">
        <v>5.68</v>
      </c>
    </row>
    <row r="570" spans="1:5" ht="15.75">
      <c r="A570" s="413" t="s">
        <v>281</v>
      </c>
      <c r="B570" s="416" t="s">
        <v>394</v>
      </c>
      <c r="C570" s="416" t="s">
        <v>321</v>
      </c>
      <c r="D570" s="423">
        <v>200</v>
      </c>
      <c r="E570" s="423">
        <v>0</v>
      </c>
    </row>
    <row r="572" spans="1:7" ht="15.75">
      <c r="A572" s="413" t="s">
        <v>281</v>
      </c>
      <c r="B572" s="416" t="s">
        <v>282</v>
      </c>
      <c r="C572" s="416" t="s">
        <v>395</v>
      </c>
      <c r="D572" s="423">
        <v>1000</v>
      </c>
      <c r="E572" s="423">
        <v>0</v>
      </c>
      <c r="F572" s="423">
        <f>SUM(D572:D576)</f>
        <v>322996</v>
      </c>
      <c r="G572" s="423">
        <f>SUM(E572:E576)</f>
        <v>299760.48</v>
      </c>
    </row>
    <row r="573" spans="1:5" ht="15.75">
      <c r="A573" s="413" t="s">
        <v>281</v>
      </c>
      <c r="B573" s="416" t="s">
        <v>282</v>
      </c>
      <c r="C573" s="416" t="s">
        <v>396</v>
      </c>
      <c r="D573" s="423">
        <v>32000</v>
      </c>
      <c r="E573" s="423">
        <v>29970</v>
      </c>
    </row>
    <row r="574" spans="1:8" ht="15.75">
      <c r="A574" s="413" t="s">
        <v>281</v>
      </c>
      <c r="B574" s="416" t="s">
        <v>282</v>
      </c>
      <c r="C574" s="416" t="s">
        <v>396</v>
      </c>
      <c r="D574" s="423">
        <v>234459</v>
      </c>
      <c r="E574" s="423">
        <v>234459</v>
      </c>
      <c r="H574" s="414"/>
    </row>
    <row r="575" spans="1:5" ht="15.75">
      <c r="A575" s="413" t="s">
        <v>281</v>
      </c>
      <c r="B575" s="416" t="s">
        <v>282</v>
      </c>
      <c r="C575" s="416" t="s">
        <v>370</v>
      </c>
      <c r="D575" s="423">
        <v>20205.52</v>
      </c>
      <c r="E575" s="423">
        <v>0</v>
      </c>
    </row>
    <row r="576" spans="1:8" ht="15.75">
      <c r="A576" s="413" t="s">
        <v>281</v>
      </c>
      <c r="B576" s="416" t="s">
        <v>282</v>
      </c>
      <c r="C576" s="416" t="s">
        <v>370</v>
      </c>
      <c r="D576" s="423">
        <v>35331.48</v>
      </c>
      <c r="E576" s="423">
        <v>35331.48</v>
      </c>
      <c r="H576" s="414"/>
    </row>
    <row r="577" ht="15.75">
      <c r="H577" s="414"/>
    </row>
    <row r="578" spans="1:5" ht="15.75">
      <c r="A578" s="413" t="s">
        <v>281</v>
      </c>
      <c r="B578" s="416" t="s">
        <v>397</v>
      </c>
      <c r="C578" s="416" t="s">
        <v>319</v>
      </c>
      <c r="D578" s="423">
        <v>1440</v>
      </c>
      <c r="E578" s="423">
        <v>0</v>
      </c>
    </row>
    <row r="580" spans="1:5" ht="15.75">
      <c r="A580" s="428" t="s">
        <v>246</v>
      </c>
      <c r="B580" s="429" t="s">
        <v>398</v>
      </c>
      <c r="C580" s="429" t="s">
        <v>335</v>
      </c>
      <c r="D580" s="430">
        <v>281300</v>
      </c>
      <c r="E580" s="430">
        <v>267387.28</v>
      </c>
    </row>
    <row r="581" spans="1:7" ht="15.75">
      <c r="A581" s="413" t="s">
        <v>246</v>
      </c>
      <c r="B581" s="416" t="s">
        <v>398</v>
      </c>
      <c r="C581" s="416" t="s">
        <v>337</v>
      </c>
      <c r="D581" s="423">
        <v>17200</v>
      </c>
      <c r="E581" s="423">
        <v>16380.75</v>
      </c>
      <c r="F581" s="423">
        <f>SUM(D581:D584)</f>
        <v>64200</v>
      </c>
      <c r="G581" s="423">
        <f>SUM(E581:E584)</f>
        <v>63191.200000000004</v>
      </c>
    </row>
    <row r="582" spans="1:5" ht="15.75">
      <c r="A582" s="413" t="s">
        <v>246</v>
      </c>
      <c r="B582" s="416" t="s">
        <v>398</v>
      </c>
      <c r="C582" s="416" t="s">
        <v>343</v>
      </c>
      <c r="D582" s="423">
        <v>40000</v>
      </c>
      <c r="E582" s="423">
        <v>40000</v>
      </c>
    </row>
    <row r="583" spans="1:5" ht="15.75">
      <c r="A583" s="413" t="s">
        <v>246</v>
      </c>
      <c r="B583" s="416" t="s">
        <v>398</v>
      </c>
      <c r="C583" s="416" t="s">
        <v>319</v>
      </c>
      <c r="D583" s="423">
        <v>5800</v>
      </c>
      <c r="E583" s="423">
        <v>5713.65</v>
      </c>
    </row>
    <row r="584" spans="1:5" ht="15.75">
      <c r="A584" s="413" t="s">
        <v>246</v>
      </c>
      <c r="B584" s="416" t="s">
        <v>398</v>
      </c>
      <c r="C584" s="416" t="s">
        <v>320</v>
      </c>
      <c r="D584" s="423">
        <v>1200</v>
      </c>
      <c r="E584" s="423">
        <v>1096.8</v>
      </c>
    </row>
    <row r="585" spans="1:5" ht="15.75">
      <c r="A585" s="421" t="s">
        <v>246</v>
      </c>
      <c r="B585" s="422" t="s">
        <v>398</v>
      </c>
      <c r="C585" s="422" t="s">
        <v>333</v>
      </c>
      <c r="D585" s="426">
        <v>317304</v>
      </c>
      <c r="E585" s="426">
        <v>284517.5</v>
      </c>
    </row>
    <row r="586" spans="1:5" ht="15.75">
      <c r="A586" s="419"/>
      <c r="B586" s="420"/>
      <c r="C586" s="420"/>
      <c r="D586" s="425"/>
      <c r="E586" s="425"/>
    </row>
    <row r="587" spans="1:7" ht="15.75">
      <c r="A587" s="417" t="s">
        <v>246</v>
      </c>
      <c r="B587" s="418" t="s">
        <v>317</v>
      </c>
      <c r="C587" s="418" t="s">
        <v>325</v>
      </c>
      <c r="D587" s="424">
        <v>300</v>
      </c>
      <c r="E587" s="424">
        <v>0</v>
      </c>
      <c r="F587" s="424">
        <f>SUM(D587:D589)</f>
        <v>2100</v>
      </c>
      <c r="G587" s="424">
        <f>SUM(E587:E589)</f>
        <v>1704</v>
      </c>
    </row>
    <row r="588" spans="1:7" ht="15.75">
      <c r="A588" s="417" t="s">
        <v>246</v>
      </c>
      <c r="B588" s="418" t="s">
        <v>317</v>
      </c>
      <c r="C588" s="418" t="s">
        <v>326</v>
      </c>
      <c r="D588" s="424">
        <v>50</v>
      </c>
      <c r="E588" s="424">
        <v>0</v>
      </c>
      <c r="F588" s="423">
        <f>D590+D591</f>
        <v>463000</v>
      </c>
      <c r="G588" s="423">
        <f>E590+E591</f>
        <v>460175.33</v>
      </c>
    </row>
    <row r="589" spans="1:5" ht="15.75">
      <c r="A589" s="417" t="s">
        <v>246</v>
      </c>
      <c r="B589" s="418" t="s">
        <v>317</v>
      </c>
      <c r="C589" s="418" t="s">
        <v>327</v>
      </c>
      <c r="D589" s="424">
        <v>1750</v>
      </c>
      <c r="E589" s="424">
        <v>1704</v>
      </c>
    </row>
    <row r="590" spans="1:5" ht="15.75">
      <c r="A590" s="413" t="s">
        <v>246</v>
      </c>
      <c r="B590" s="416" t="s">
        <v>317</v>
      </c>
      <c r="C590" s="416" t="s">
        <v>328</v>
      </c>
      <c r="D590" s="423">
        <v>10000</v>
      </c>
      <c r="E590" s="423">
        <v>8840.4</v>
      </c>
    </row>
    <row r="591" spans="1:5" ht="15.75">
      <c r="A591" s="413" t="s">
        <v>246</v>
      </c>
      <c r="B591" s="416" t="s">
        <v>317</v>
      </c>
      <c r="C591" s="416" t="s">
        <v>319</v>
      </c>
      <c r="D591" s="423">
        <v>453000</v>
      </c>
      <c r="E591" s="423">
        <v>451334.93</v>
      </c>
    </row>
    <row r="593" spans="1:7" ht="15.75">
      <c r="A593" s="413" t="s">
        <v>246</v>
      </c>
      <c r="B593" s="416" t="s">
        <v>399</v>
      </c>
      <c r="C593" s="416" t="s">
        <v>328</v>
      </c>
      <c r="D593" s="423">
        <v>43600</v>
      </c>
      <c r="E593" s="423">
        <v>42480.44</v>
      </c>
      <c r="F593" s="423">
        <f>D593+D594</f>
        <v>70600</v>
      </c>
      <c r="G593" s="423">
        <f>E593+E594</f>
        <v>66636.48000000001</v>
      </c>
    </row>
    <row r="594" spans="1:5" ht="15.75">
      <c r="A594" s="413" t="s">
        <v>246</v>
      </c>
      <c r="B594" s="416" t="s">
        <v>399</v>
      </c>
      <c r="C594" s="416" t="s">
        <v>319</v>
      </c>
      <c r="D594" s="423">
        <v>27000</v>
      </c>
      <c r="E594" s="423">
        <v>24156.04</v>
      </c>
    </row>
    <row r="596" spans="1:7" ht="15.75">
      <c r="A596" s="413" t="s">
        <v>246</v>
      </c>
      <c r="B596" s="416" t="s">
        <v>400</v>
      </c>
      <c r="C596" s="416" t="s">
        <v>328</v>
      </c>
      <c r="D596" s="423">
        <v>12000</v>
      </c>
      <c r="E596" s="423">
        <v>11736.88</v>
      </c>
      <c r="F596" s="423">
        <f>D596+D597+D598+D599</f>
        <v>491865</v>
      </c>
      <c r="G596" s="423">
        <f>E596+E597+E598+E599</f>
        <v>490174.75</v>
      </c>
    </row>
    <row r="597" spans="1:5" ht="15.75">
      <c r="A597" s="413" t="s">
        <v>246</v>
      </c>
      <c r="B597" s="416" t="s">
        <v>400</v>
      </c>
      <c r="C597" s="416" t="s">
        <v>337</v>
      </c>
      <c r="D597" s="423">
        <v>467865</v>
      </c>
      <c r="E597" s="423">
        <v>467566.57</v>
      </c>
    </row>
    <row r="598" spans="1:5" ht="15.75">
      <c r="A598" s="413" t="s">
        <v>246</v>
      </c>
      <c r="B598" s="416" t="s">
        <v>400</v>
      </c>
      <c r="C598" s="416" t="s">
        <v>343</v>
      </c>
      <c r="D598" s="423">
        <v>2000</v>
      </c>
      <c r="E598" s="423">
        <v>1049.2</v>
      </c>
    </row>
    <row r="599" spans="1:5" ht="15.75">
      <c r="A599" s="413" t="s">
        <v>246</v>
      </c>
      <c r="B599" s="416" t="s">
        <v>400</v>
      </c>
      <c r="C599" s="416" t="s">
        <v>319</v>
      </c>
      <c r="D599" s="423">
        <v>10000</v>
      </c>
      <c r="E599" s="423">
        <v>9822.1</v>
      </c>
    </row>
    <row r="600" spans="1:5" ht="15.75">
      <c r="A600" s="421" t="s">
        <v>246</v>
      </c>
      <c r="B600" s="422" t="s">
        <v>400</v>
      </c>
      <c r="C600" s="422" t="s">
        <v>333</v>
      </c>
      <c r="D600" s="426">
        <v>277000</v>
      </c>
      <c r="E600" s="426">
        <v>102262.01</v>
      </c>
    </row>
    <row r="601" spans="1:5" ht="15.75">
      <c r="A601" s="419"/>
      <c r="B601" s="420"/>
      <c r="C601" s="420"/>
      <c r="D601" s="425"/>
      <c r="E601" s="425"/>
    </row>
    <row r="602" spans="1:5" ht="15.75">
      <c r="A602" s="413" t="s">
        <v>246</v>
      </c>
      <c r="B602" s="416" t="s">
        <v>247</v>
      </c>
      <c r="C602" s="416" t="s">
        <v>320</v>
      </c>
      <c r="D602" s="423">
        <v>3983</v>
      </c>
      <c r="E602" s="423">
        <v>3983</v>
      </c>
    </row>
    <row r="604" spans="1:5" ht="15.75">
      <c r="A604" s="413" t="s">
        <v>246</v>
      </c>
      <c r="B604" s="416" t="s">
        <v>401</v>
      </c>
      <c r="C604" s="416" t="s">
        <v>322</v>
      </c>
      <c r="D604" s="423">
        <v>5000</v>
      </c>
      <c r="E604" s="423">
        <v>3599.64</v>
      </c>
    </row>
    <row r="605" spans="1:7" ht="15.75">
      <c r="A605" s="417" t="s">
        <v>246</v>
      </c>
      <c r="B605" s="418" t="s">
        <v>401</v>
      </c>
      <c r="C605" s="418" t="s">
        <v>323</v>
      </c>
      <c r="D605" s="424">
        <v>35620</v>
      </c>
      <c r="E605" s="424">
        <v>33537.3</v>
      </c>
      <c r="F605" s="424">
        <f>SUM(D605:D608)</f>
        <v>58420</v>
      </c>
      <c r="G605" s="424">
        <f>SUM(E605:E608)</f>
        <v>54816.71</v>
      </c>
    </row>
    <row r="606" spans="1:7" ht="15.75">
      <c r="A606" s="417" t="s">
        <v>246</v>
      </c>
      <c r="B606" s="418" t="s">
        <v>401</v>
      </c>
      <c r="C606" s="418" t="s">
        <v>324</v>
      </c>
      <c r="D606" s="424">
        <v>9400</v>
      </c>
      <c r="E606" s="424">
        <v>9344.67</v>
      </c>
      <c r="F606" s="423">
        <f>D604+SUM(D609:D614)</f>
        <v>49000</v>
      </c>
      <c r="G606" s="423">
        <f>E604+SUM(E609:E614)</f>
        <v>39694.8</v>
      </c>
    </row>
    <row r="607" spans="1:7" ht="15.75">
      <c r="A607" s="417" t="s">
        <v>246</v>
      </c>
      <c r="B607" s="418" t="s">
        <v>401</v>
      </c>
      <c r="C607" s="418" t="s">
        <v>325</v>
      </c>
      <c r="D607" s="424">
        <v>7100</v>
      </c>
      <c r="E607" s="424">
        <v>5982.67</v>
      </c>
      <c r="F607" s="426">
        <f>D615+D616</f>
        <v>52000</v>
      </c>
      <c r="G607" s="426">
        <f>E615+E616</f>
        <v>34000</v>
      </c>
    </row>
    <row r="608" spans="1:5" ht="15.75">
      <c r="A608" s="417" t="s">
        <v>246</v>
      </c>
      <c r="B608" s="418" t="s">
        <v>401</v>
      </c>
      <c r="C608" s="418" t="s">
        <v>326</v>
      </c>
      <c r="D608" s="424">
        <v>6300</v>
      </c>
      <c r="E608" s="424">
        <v>5952.07</v>
      </c>
    </row>
    <row r="609" spans="1:5" ht="15.75">
      <c r="A609" s="413" t="s">
        <v>246</v>
      </c>
      <c r="B609" s="416" t="s">
        <v>401</v>
      </c>
      <c r="C609" s="416" t="s">
        <v>328</v>
      </c>
      <c r="D609" s="423">
        <v>21300</v>
      </c>
      <c r="E609" s="423">
        <v>20191.59</v>
      </c>
    </row>
    <row r="610" spans="1:5" ht="15.75">
      <c r="A610" s="413" t="s">
        <v>246</v>
      </c>
      <c r="B610" s="416" t="s">
        <v>401</v>
      </c>
      <c r="C610" s="416" t="s">
        <v>337</v>
      </c>
      <c r="D610" s="423">
        <v>7000</v>
      </c>
      <c r="E610" s="423">
        <v>5453.35</v>
      </c>
    </row>
    <row r="611" spans="1:5" ht="15.75">
      <c r="A611" s="413" t="s">
        <v>246</v>
      </c>
      <c r="B611" s="416" t="s">
        <v>401</v>
      </c>
      <c r="C611" s="416" t="s">
        <v>329</v>
      </c>
      <c r="D611" s="423">
        <v>1000</v>
      </c>
      <c r="E611" s="423">
        <v>967</v>
      </c>
    </row>
    <row r="612" spans="1:5" ht="15.75">
      <c r="A612" s="413" t="s">
        <v>246</v>
      </c>
      <c r="B612" s="416" t="s">
        <v>401</v>
      </c>
      <c r="C612" s="416" t="s">
        <v>319</v>
      </c>
      <c r="D612" s="423">
        <v>7700</v>
      </c>
      <c r="E612" s="423">
        <v>6513.47</v>
      </c>
    </row>
    <row r="613" spans="1:5" ht="15.75">
      <c r="A613" s="413" t="s">
        <v>246</v>
      </c>
      <c r="B613" s="416" t="s">
        <v>401</v>
      </c>
      <c r="C613" s="416" t="s">
        <v>330</v>
      </c>
      <c r="D613" s="423">
        <v>100</v>
      </c>
      <c r="E613" s="423">
        <v>65.75</v>
      </c>
    </row>
    <row r="614" spans="1:5" ht="15.75">
      <c r="A614" s="413" t="s">
        <v>246</v>
      </c>
      <c r="B614" s="416" t="s">
        <v>401</v>
      </c>
      <c r="C614" s="416" t="s">
        <v>320</v>
      </c>
      <c r="D614" s="423">
        <v>6900</v>
      </c>
      <c r="E614" s="423">
        <v>2904</v>
      </c>
    </row>
    <row r="615" spans="1:5" ht="15.75">
      <c r="A615" s="421" t="s">
        <v>246</v>
      </c>
      <c r="B615" s="422" t="s">
        <v>401</v>
      </c>
      <c r="C615" s="422" t="s">
        <v>333</v>
      </c>
      <c r="D615" s="426">
        <v>18000</v>
      </c>
      <c r="E615" s="426">
        <v>0</v>
      </c>
    </row>
    <row r="616" spans="1:5" ht="15.75">
      <c r="A616" s="421" t="s">
        <v>246</v>
      </c>
      <c r="B616" s="422" t="s">
        <v>401</v>
      </c>
      <c r="C616" s="422" t="s">
        <v>361</v>
      </c>
      <c r="D616" s="426">
        <v>34000</v>
      </c>
      <c r="E616" s="426">
        <v>34000</v>
      </c>
    </row>
    <row r="617" spans="1:5" ht="15.75">
      <c r="A617" s="419"/>
      <c r="B617" s="420"/>
      <c r="C617" s="420"/>
      <c r="D617" s="425"/>
      <c r="E617" s="425"/>
    </row>
    <row r="618" spans="1:5" ht="15.75">
      <c r="A618" s="428" t="s">
        <v>205</v>
      </c>
      <c r="B618" s="429" t="s">
        <v>208</v>
      </c>
      <c r="C618" s="429" t="s">
        <v>402</v>
      </c>
      <c r="D618" s="430">
        <v>605657.49</v>
      </c>
      <c r="E618" s="430">
        <v>605657.49</v>
      </c>
    </row>
    <row r="619" spans="1:5" ht="15.75">
      <c r="A619" s="421" t="s">
        <v>205</v>
      </c>
      <c r="B619" s="422" t="s">
        <v>208</v>
      </c>
      <c r="C619" s="422" t="s">
        <v>562</v>
      </c>
      <c r="D619" s="426">
        <v>75642.51</v>
      </c>
      <c r="E619" s="426">
        <v>75642.51</v>
      </c>
    </row>
    <row r="620" spans="1:5" ht="15.75">
      <c r="A620" s="419"/>
      <c r="B620" s="420"/>
      <c r="C620" s="420"/>
      <c r="D620" s="425"/>
      <c r="E620" s="425"/>
    </row>
    <row r="621" spans="1:5" ht="15.75">
      <c r="A621" s="428" t="s">
        <v>205</v>
      </c>
      <c r="B621" s="429" t="s">
        <v>207</v>
      </c>
      <c r="C621" s="429" t="s">
        <v>402</v>
      </c>
      <c r="D621" s="430">
        <v>655494</v>
      </c>
      <c r="E621" s="430">
        <v>653850.16</v>
      </c>
    </row>
    <row r="622" spans="1:5" ht="15.75">
      <c r="A622" s="419"/>
      <c r="B622" s="420"/>
      <c r="C622" s="420"/>
      <c r="D622" s="425"/>
      <c r="E622" s="425"/>
    </row>
    <row r="623" spans="1:5" ht="15.75">
      <c r="A623" s="428" t="s">
        <v>205</v>
      </c>
      <c r="B623" s="429" t="s">
        <v>403</v>
      </c>
      <c r="C623" s="429" t="s">
        <v>404</v>
      </c>
      <c r="D623" s="430">
        <v>35000</v>
      </c>
      <c r="E623" s="430">
        <v>35000</v>
      </c>
    </row>
    <row r="624" spans="1:5" ht="15.75">
      <c r="A624" s="419"/>
      <c r="B624" s="420"/>
      <c r="C624" s="420"/>
      <c r="D624" s="425"/>
      <c r="E624" s="425"/>
    </row>
    <row r="625" spans="1:5" ht="15.75">
      <c r="A625" s="428" t="s">
        <v>205</v>
      </c>
      <c r="B625" s="429" t="s">
        <v>206</v>
      </c>
      <c r="C625" s="429" t="s">
        <v>350</v>
      </c>
      <c r="D625" s="430">
        <v>70000</v>
      </c>
      <c r="E625" s="430">
        <v>57784.37</v>
      </c>
    </row>
    <row r="626" spans="1:5" ht="15.75">
      <c r="A626" s="419"/>
      <c r="B626" s="420"/>
      <c r="C626" s="420"/>
      <c r="D626" s="425"/>
      <c r="E626" s="425"/>
    </row>
    <row r="627" spans="1:5" ht="15.75">
      <c r="A627" s="428" t="s">
        <v>254</v>
      </c>
      <c r="B627" s="429" t="s">
        <v>255</v>
      </c>
      <c r="C627" s="429" t="s">
        <v>404</v>
      </c>
      <c r="D627" s="430">
        <v>55000</v>
      </c>
      <c r="E627" s="430">
        <v>55000</v>
      </c>
    </row>
    <row r="628" spans="1:5" ht="15.75">
      <c r="A628" s="413" t="s">
        <v>254</v>
      </c>
      <c r="B628" s="416" t="s">
        <v>255</v>
      </c>
      <c r="C628" s="416" t="s">
        <v>395</v>
      </c>
      <c r="D628" s="423">
        <v>9100</v>
      </c>
      <c r="E628" s="423">
        <v>9100</v>
      </c>
    </row>
    <row r="629" spans="1:5" ht="15.75">
      <c r="A629" s="417" t="s">
        <v>254</v>
      </c>
      <c r="B629" s="418" t="s">
        <v>255</v>
      </c>
      <c r="C629" s="418" t="s">
        <v>327</v>
      </c>
      <c r="D629" s="424">
        <v>3220</v>
      </c>
      <c r="E629" s="424">
        <v>1500</v>
      </c>
    </row>
    <row r="630" spans="1:7" ht="15.75">
      <c r="A630" s="413" t="s">
        <v>254</v>
      </c>
      <c r="B630" s="416" t="s">
        <v>255</v>
      </c>
      <c r="C630" s="416" t="s">
        <v>328</v>
      </c>
      <c r="D630" s="423">
        <v>41360</v>
      </c>
      <c r="E630" s="423">
        <v>39350.93</v>
      </c>
      <c r="F630" s="423">
        <f>D628+D630+D631+D632+D633+D634+D635</f>
        <v>135171</v>
      </c>
      <c r="G630" s="423">
        <f>E628+E630+E631+E632+E633+E634+E635</f>
        <v>122157.63</v>
      </c>
    </row>
    <row r="631" spans="1:5" ht="15.75">
      <c r="A631" s="413" t="s">
        <v>254</v>
      </c>
      <c r="B631" s="416" t="s">
        <v>255</v>
      </c>
      <c r="C631" s="416" t="s">
        <v>343</v>
      </c>
      <c r="D631" s="423">
        <v>9500</v>
      </c>
      <c r="E631" s="423">
        <v>2200</v>
      </c>
    </row>
    <row r="632" spans="1:5" ht="15.75">
      <c r="A632" s="413" t="s">
        <v>254</v>
      </c>
      <c r="B632" s="416" t="s">
        <v>255</v>
      </c>
      <c r="C632" s="416" t="s">
        <v>329</v>
      </c>
      <c r="D632" s="423">
        <v>3000</v>
      </c>
      <c r="E632" s="423">
        <v>1085.8</v>
      </c>
    </row>
    <row r="633" spans="1:5" ht="15.75">
      <c r="A633" s="413" t="s">
        <v>254</v>
      </c>
      <c r="B633" s="416" t="s">
        <v>255</v>
      </c>
      <c r="C633" s="416" t="s">
        <v>319</v>
      </c>
      <c r="D633" s="423">
        <v>65811</v>
      </c>
      <c r="E633" s="423">
        <v>64446.76</v>
      </c>
    </row>
    <row r="634" spans="1:5" ht="15.75">
      <c r="A634" s="413" t="s">
        <v>254</v>
      </c>
      <c r="B634" s="416" t="s">
        <v>255</v>
      </c>
      <c r="C634" s="416" t="s">
        <v>330</v>
      </c>
      <c r="D634" s="423">
        <v>1200</v>
      </c>
      <c r="E634" s="423">
        <v>903.14</v>
      </c>
    </row>
    <row r="635" spans="1:5" ht="15.75">
      <c r="A635" s="413" t="s">
        <v>254</v>
      </c>
      <c r="B635" s="416" t="s">
        <v>255</v>
      </c>
      <c r="C635" s="416" t="s">
        <v>320</v>
      </c>
      <c r="D635" s="423">
        <v>5200</v>
      </c>
      <c r="E635" s="423">
        <v>5071</v>
      </c>
    </row>
    <row r="636" spans="1:5" ht="15.75">
      <c r="A636" s="421" t="s">
        <v>254</v>
      </c>
      <c r="B636" s="422" t="s">
        <v>255</v>
      </c>
      <c r="C636" s="422" t="s">
        <v>333</v>
      </c>
      <c r="D636" s="426">
        <v>1704867.43</v>
      </c>
      <c r="E636" s="426">
        <v>1684488</v>
      </c>
    </row>
    <row r="637" spans="1:5" ht="15.75">
      <c r="A637" s="419"/>
      <c r="B637" s="420"/>
      <c r="C637" s="420"/>
      <c r="D637" s="425"/>
      <c r="E637" s="425"/>
    </row>
    <row r="638" spans="1:7" ht="15.75">
      <c r="A638" s="417" t="s">
        <v>254</v>
      </c>
      <c r="B638" s="418" t="s">
        <v>415</v>
      </c>
      <c r="C638" s="418" t="s">
        <v>325</v>
      </c>
      <c r="D638" s="424">
        <v>62.05</v>
      </c>
      <c r="E638" s="424">
        <v>62.05</v>
      </c>
      <c r="F638" s="424">
        <f>D638+D639</f>
        <v>7999.99</v>
      </c>
      <c r="G638" s="424">
        <f>E638+E639</f>
        <v>7999.99</v>
      </c>
    </row>
    <row r="639" spans="1:7" ht="15.75">
      <c r="A639" s="417" t="s">
        <v>254</v>
      </c>
      <c r="B639" s="418" t="s">
        <v>415</v>
      </c>
      <c r="C639" s="418" t="s">
        <v>327</v>
      </c>
      <c r="D639" s="424">
        <v>7937.94</v>
      </c>
      <c r="E639" s="424">
        <v>7937.94</v>
      </c>
      <c r="F639" s="423">
        <f>D640+D641+D642+D643+D644</f>
        <v>12000.01</v>
      </c>
      <c r="G639" s="423">
        <f>E640+E641+E642+E643+E644</f>
        <v>12000.01</v>
      </c>
    </row>
    <row r="640" spans="1:5" ht="15.75">
      <c r="A640" s="413" t="s">
        <v>254</v>
      </c>
      <c r="B640" s="416" t="s">
        <v>415</v>
      </c>
      <c r="C640" s="416" t="s">
        <v>328</v>
      </c>
      <c r="D640" s="423">
        <v>7125.61</v>
      </c>
      <c r="E640" s="423">
        <v>7125.61</v>
      </c>
    </row>
    <row r="641" spans="1:5" ht="15.75">
      <c r="A641" s="413" t="s">
        <v>254</v>
      </c>
      <c r="B641" s="416" t="s">
        <v>415</v>
      </c>
      <c r="C641" s="416" t="s">
        <v>319</v>
      </c>
      <c r="D641" s="423">
        <v>4074.4</v>
      </c>
      <c r="E641" s="423">
        <v>4074.4</v>
      </c>
    </row>
    <row r="642" spans="1:5" ht="15.75">
      <c r="A642" s="413" t="s">
        <v>254</v>
      </c>
      <c r="B642" s="416" t="s">
        <v>415</v>
      </c>
      <c r="C642" s="416" t="s">
        <v>330</v>
      </c>
      <c r="D642" s="423">
        <v>100</v>
      </c>
      <c r="E642" s="423">
        <v>100</v>
      </c>
    </row>
    <row r="643" spans="1:5" ht="15.75">
      <c r="A643" s="413" t="s">
        <v>254</v>
      </c>
      <c r="B643" s="416" t="s">
        <v>415</v>
      </c>
      <c r="C643" s="416" t="s">
        <v>320</v>
      </c>
      <c r="D643" s="423">
        <v>330</v>
      </c>
      <c r="E643" s="423">
        <v>330</v>
      </c>
    </row>
    <row r="644" spans="1:5" ht="15.75">
      <c r="A644" s="413" t="s">
        <v>254</v>
      </c>
      <c r="B644" s="416" t="s">
        <v>415</v>
      </c>
      <c r="C644" s="416" t="s">
        <v>321</v>
      </c>
      <c r="D644" s="423">
        <v>370</v>
      </c>
      <c r="E644" s="423">
        <v>370</v>
      </c>
    </row>
    <row r="646" spans="4:5" ht="15.75">
      <c r="D646" s="427">
        <f>SUM(D2:D645)</f>
        <v>48901495.31000001</v>
      </c>
      <c r="E646" s="427">
        <f>SUM(E2:E645)</f>
        <v>47121646.32999995</v>
      </c>
    </row>
  </sheetData>
  <printOptions/>
  <pageMargins left="0.75" right="0.75" top="0.28" bottom="0.22" header="0.23" footer="0.17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2"/>
  <sheetViews>
    <sheetView showGridLines="0" workbookViewId="0" topLeftCell="A223">
      <selection activeCell="A250" sqref="A250:IV253"/>
    </sheetView>
  </sheetViews>
  <sheetFormatPr defaultColWidth="9.00390625" defaultRowHeight="12.75" customHeight="1"/>
  <cols>
    <col min="1" max="1" width="6.75390625" style="62" customWidth="1"/>
    <col min="2" max="2" width="47.875" style="17" customWidth="1"/>
    <col min="3" max="4" width="14.00390625" style="114" customWidth="1"/>
    <col min="5" max="5" width="6.375" style="379" customWidth="1"/>
    <col min="6" max="6" width="9.125" style="36" customWidth="1"/>
    <col min="7" max="7" width="13.375" style="36" bestFit="1" customWidth="1"/>
    <col min="8" max="16384" width="9.125" style="36" customWidth="1"/>
  </cols>
  <sheetData>
    <row r="1" spans="1:5" ht="12.75" customHeight="1">
      <c r="A1" s="540" t="s">
        <v>115</v>
      </c>
      <c r="B1" s="540"/>
      <c r="C1" s="540"/>
      <c r="D1" s="36"/>
      <c r="E1" s="377"/>
    </row>
    <row r="2" spans="1:5" ht="12.75" customHeight="1">
      <c r="A2" s="548" t="s">
        <v>563</v>
      </c>
      <c r="B2" s="548"/>
      <c r="C2" s="548"/>
      <c r="D2" s="548"/>
      <c r="E2" s="548"/>
    </row>
    <row r="3" spans="1:5" s="37" customFormat="1" ht="12.75" customHeight="1">
      <c r="A3" s="234" t="s">
        <v>21</v>
      </c>
      <c r="B3" s="124" t="s">
        <v>2</v>
      </c>
      <c r="C3" s="122" t="s">
        <v>238</v>
      </c>
      <c r="D3" s="188" t="s">
        <v>239</v>
      </c>
      <c r="E3" s="378" t="s">
        <v>234</v>
      </c>
    </row>
    <row r="4" spans="1:5" s="38" customFormat="1" ht="12.75" customHeight="1">
      <c r="A4" s="18" t="s">
        <v>66</v>
      </c>
      <c r="B4" s="11" t="s">
        <v>22</v>
      </c>
      <c r="C4" s="97">
        <f>C5+C7</f>
        <v>100031</v>
      </c>
      <c r="D4" s="97">
        <f>D5+D7</f>
        <v>97877.69</v>
      </c>
      <c r="E4" s="274">
        <f>D4/C4%</f>
        <v>97.84735731923105</v>
      </c>
    </row>
    <row r="5" spans="1:5" ht="12.75" customHeight="1">
      <c r="A5" s="19" t="s">
        <v>67</v>
      </c>
      <c r="B5" s="12" t="s">
        <v>24</v>
      </c>
      <c r="C5" s="98">
        <f>C6</f>
        <v>6400</v>
      </c>
      <c r="D5" s="98">
        <f>D6</f>
        <v>6174.67</v>
      </c>
      <c r="E5" s="275">
        <f aca="true" t="shared" si="0" ref="E5:E72">D5/C5%</f>
        <v>96.47921875</v>
      </c>
    </row>
    <row r="6" spans="1:5" ht="12.75" customHeight="1">
      <c r="A6" s="19"/>
      <c r="B6" s="8" t="s">
        <v>229</v>
      </c>
      <c r="C6" s="105">
        <f>'Fk-wyd'!D2</f>
        <v>6400</v>
      </c>
      <c r="D6" s="105">
        <f>'Fk-wyd'!E2</f>
        <v>6174.67</v>
      </c>
      <c r="E6" s="275">
        <f t="shared" si="0"/>
        <v>96.47921875</v>
      </c>
    </row>
    <row r="7" spans="1:5" ht="12.75" customHeight="1">
      <c r="A7" s="19" t="s">
        <v>292</v>
      </c>
      <c r="B7" s="8" t="s">
        <v>26</v>
      </c>
      <c r="C7" s="105">
        <f>C8</f>
        <v>93631</v>
      </c>
      <c r="D7" s="105">
        <f>D8</f>
        <v>91703.02</v>
      </c>
      <c r="E7" s="275">
        <f t="shared" si="0"/>
        <v>97.94087428309001</v>
      </c>
    </row>
    <row r="8" spans="1:5" ht="12.75" customHeight="1">
      <c r="A8" s="19"/>
      <c r="B8" s="8" t="s">
        <v>23</v>
      </c>
      <c r="C8" s="105">
        <f>C9+C10</f>
        <v>93631</v>
      </c>
      <c r="D8" s="105">
        <f>D9+D10</f>
        <v>91703.02</v>
      </c>
      <c r="E8" s="275">
        <f t="shared" si="0"/>
        <v>97.94087428309001</v>
      </c>
    </row>
    <row r="9" spans="1:5" ht="12.75" customHeight="1">
      <c r="A9" s="19"/>
      <c r="B9" s="26" t="s">
        <v>75</v>
      </c>
      <c r="C9" s="105">
        <f>'Fk-wyd'!D4</f>
        <v>346.47</v>
      </c>
      <c r="D9" s="105">
        <f>'Fk-wyd'!E4</f>
        <v>308.99</v>
      </c>
      <c r="E9" s="275">
        <f t="shared" si="0"/>
        <v>89.18232458798741</v>
      </c>
    </row>
    <row r="10" spans="1:5" ht="12.75" customHeight="1">
      <c r="A10" s="20"/>
      <c r="B10" s="31" t="s">
        <v>76</v>
      </c>
      <c r="C10" s="107">
        <f>'Fk-wyd'!F5</f>
        <v>93284.53</v>
      </c>
      <c r="D10" s="107">
        <f>'Fk-wyd'!G5</f>
        <v>91394.03</v>
      </c>
      <c r="E10" s="276">
        <f t="shared" si="0"/>
        <v>97.97340459345189</v>
      </c>
    </row>
    <row r="11" spans="1:5" s="38" customFormat="1" ht="12.75" customHeight="1">
      <c r="A11" s="21" t="s">
        <v>68</v>
      </c>
      <c r="B11" s="49" t="s">
        <v>3</v>
      </c>
      <c r="C11" s="103">
        <f>C12</f>
        <v>46000</v>
      </c>
      <c r="D11" s="173">
        <f>D12</f>
        <v>45740.65</v>
      </c>
      <c r="E11" s="277">
        <f t="shared" si="0"/>
        <v>99.43619565217392</v>
      </c>
    </row>
    <row r="12" spans="1:5" ht="12.75" customHeight="1">
      <c r="A12" s="22" t="s">
        <v>69</v>
      </c>
      <c r="B12" s="50" t="s">
        <v>25</v>
      </c>
      <c r="C12" s="95">
        <f>C13</f>
        <v>46000</v>
      </c>
      <c r="D12" s="170">
        <f>D13</f>
        <v>45740.65</v>
      </c>
      <c r="E12" s="275">
        <f t="shared" si="0"/>
        <v>99.43619565217392</v>
      </c>
    </row>
    <row r="13" spans="1:5" ht="12.75" customHeight="1">
      <c r="A13" s="22"/>
      <c r="B13" s="50" t="s">
        <v>70</v>
      </c>
      <c r="C13" s="95">
        <f>C14+C15</f>
        <v>46000</v>
      </c>
      <c r="D13" s="170">
        <f>D14+D15</f>
        <v>45740.65</v>
      </c>
      <c r="E13" s="275">
        <f t="shared" si="0"/>
        <v>99.43619565217392</v>
      </c>
    </row>
    <row r="14" spans="1:5" ht="12.75" customHeight="1">
      <c r="A14" s="22"/>
      <c r="B14" s="50" t="s">
        <v>75</v>
      </c>
      <c r="C14" s="104">
        <f>'Fk-wyd'!F11</f>
        <v>28750</v>
      </c>
      <c r="D14" s="104">
        <f>'Fk-wyd'!G11</f>
        <v>28603.79</v>
      </c>
      <c r="E14" s="275">
        <f t="shared" si="0"/>
        <v>99.49144347826088</v>
      </c>
    </row>
    <row r="15" spans="1:5" ht="12.75" customHeight="1">
      <c r="A15" s="22"/>
      <c r="B15" s="50" t="s">
        <v>76</v>
      </c>
      <c r="C15" s="102">
        <f>'Fk-wyd'!F12</f>
        <v>17250</v>
      </c>
      <c r="D15" s="102">
        <f>'Fk-wyd'!G12</f>
        <v>17136.86</v>
      </c>
      <c r="E15" s="276">
        <f t="shared" si="0"/>
        <v>99.34411594202899</v>
      </c>
    </row>
    <row r="16" spans="1:5" s="38" customFormat="1" ht="12.75" customHeight="1">
      <c r="A16" s="117">
        <v>400</v>
      </c>
      <c r="B16" s="11" t="s">
        <v>83</v>
      </c>
      <c r="C16" s="94">
        <f>C25+C19+C17+C23</f>
        <v>436462.57</v>
      </c>
      <c r="D16" s="94">
        <f>D25+D19+D17+D23</f>
        <v>425469.05000000005</v>
      </c>
      <c r="E16" s="274">
        <f t="shared" si="0"/>
        <v>97.48122273119549</v>
      </c>
    </row>
    <row r="17" spans="1:5" s="38" customFormat="1" ht="12.75" customHeight="1">
      <c r="A17" s="118">
        <v>40001</v>
      </c>
      <c r="B17" s="12" t="s">
        <v>293</v>
      </c>
      <c r="C17" s="95">
        <f>C18</f>
        <v>10000</v>
      </c>
      <c r="D17" s="95">
        <f>D18</f>
        <v>0</v>
      </c>
      <c r="E17" s="275">
        <f t="shared" si="0"/>
        <v>0</v>
      </c>
    </row>
    <row r="18" spans="1:5" s="38" customFormat="1" ht="12.75" customHeight="1">
      <c r="A18" s="118"/>
      <c r="B18" s="12" t="s">
        <v>56</v>
      </c>
      <c r="C18" s="95">
        <f>'Fk-wyd'!D20</f>
        <v>10000</v>
      </c>
      <c r="D18" s="95">
        <f>'Fk-wyd'!E20</f>
        <v>0</v>
      </c>
      <c r="E18" s="275">
        <f t="shared" si="0"/>
        <v>0</v>
      </c>
    </row>
    <row r="19" spans="1:5" ht="12.75" customHeight="1">
      <c r="A19" s="118">
        <v>40002</v>
      </c>
      <c r="B19" s="12" t="s">
        <v>99</v>
      </c>
      <c r="C19" s="104">
        <f>C20+C21+C22</f>
        <v>358237</v>
      </c>
      <c r="D19" s="104">
        <f>D20+D21+D22</f>
        <v>357513.57</v>
      </c>
      <c r="E19" s="275">
        <f t="shared" si="0"/>
        <v>99.79805826868805</v>
      </c>
    </row>
    <row r="20" spans="1:5" ht="12.75" customHeight="1">
      <c r="A20" s="118"/>
      <c r="B20" s="12" t="s">
        <v>295</v>
      </c>
      <c r="C20" s="104">
        <f>'Fk-wyd'!D22</f>
        <v>274030</v>
      </c>
      <c r="D20" s="104">
        <f>'Fk-wyd'!E22</f>
        <v>274027.24</v>
      </c>
      <c r="E20" s="275">
        <f t="shared" si="0"/>
        <v>99.99899281100609</v>
      </c>
    </row>
    <row r="21" spans="1:5" ht="12.75" customHeight="1">
      <c r="A21" s="118"/>
      <c r="B21" s="12" t="s">
        <v>23</v>
      </c>
      <c r="C21" s="104">
        <f>'Fk-wyd'!F23</f>
        <v>60000</v>
      </c>
      <c r="D21" s="104">
        <f>'Fk-wyd'!G23</f>
        <v>60000</v>
      </c>
      <c r="E21" s="275">
        <f t="shared" si="0"/>
        <v>100</v>
      </c>
    </row>
    <row r="22" spans="1:5" ht="12.75" customHeight="1">
      <c r="A22" s="118"/>
      <c r="B22" s="12" t="s">
        <v>56</v>
      </c>
      <c r="C22" s="104">
        <f>'Fk-wyd'!F25</f>
        <v>24207</v>
      </c>
      <c r="D22" s="104">
        <f>'Fk-wyd'!G25</f>
        <v>23486.33</v>
      </c>
      <c r="E22" s="275">
        <f t="shared" si="0"/>
        <v>97.02288594208288</v>
      </c>
    </row>
    <row r="23" spans="1:5" ht="12.75" customHeight="1">
      <c r="A23" s="118">
        <v>40078</v>
      </c>
      <c r="B23" s="12" t="s">
        <v>510</v>
      </c>
      <c r="C23" s="104">
        <f>C24</f>
        <v>62935.57</v>
      </c>
      <c r="D23" s="104">
        <f>D24</f>
        <v>62935.21</v>
      </c>
      <c r="E23" s="275">
        <f t="shared" si="0"/>
        <v>99.99942798643121</v>
      </c>
    </row>
    <row r="24" spans="1:5" ht="12.75" customHeight="1">
      <c r="A24" s="118"/>
      <c r="B24" s="12" t="s">
        <v>23</v>
      </c>
      <c r="C24" s="104">
        <f>'Fk-wyd'!F29</f>
        <v>62935.57</v>
      </c>
      <c r="D24" s="104">
        <f>'Fk-wyd'!G29</f>
        <v>62935.21</v>
      </c>
      <c r="E24" s="275">
        <f t="shared" si="0"/>
        <v>99.99942798643121</v>
      </c>
    </row>
    <row r="25" spans="1:5" ht="12.75" customHeight="1">
      <c r="A25" s="118">
        <v>40095</v>
      </c>
      <c r="B25" s="12" t="s">
        <v>26</v>
      </c>
      <c r="C25" s="104">
        <f>C26</f>
        <v>5290</v>
      </c>
      <c r="D25" s="167">
        <f>D26</f>
        <v>5020.27</v>
      </c>
      <c r="E25" s="275">
        <f t="shared" si="0"/>
        <v>94.90113421550096</v>
      </c>
    </row>
    <row r="26" spans="1:5" ht="12.75" customHeight="1">
      <c r="A26" s="235"/>
      <c r="B26" s="40" t="s">
        <v>23</v>
      </c>
      <c r="C26" s="102">
        <f>'Fk-wyd'!F32</f>
        <v>5290</v>
      </c>
      <c r="D26" s="102">
        <f>'Fk-wyd'!G32</f>
        <v>5020.27</v>
      </c>
      <c r="E26" s="276">
        <f t="shared" si="0"/>
        <v>94.90113421550096</v>
      </c>
    </row>
    <row r="27" spans="1:5" s="38" customFormat="1" ht="12.75" customHeight="1">
      <c r="A27" s="236">
        <v>500</v>
      </c>
      <c r="B27" s="49" t="s">
        <v>27</v>
      </c>
      <c r="C27" s="94">
        <f>C28</f>
        <v>26400</v>
      </c>
      <c r="D27" s="166">
        <f>D28</f>
        <v>26257.300000000003</v>
      </c>
      <c r="E27" s="274">
        <f t="shared" si="0"/>
        <v>99.4594696969697</v>
      </c>
    </row>
    <row r="28" spans="1:5" ht="12.75" customHeight="1">
      <c r="A28" s="237">
        <v>50095</v>
      </c>
      <c r="B28" s="50" t="s">
        <v>26</v>
      </c>
      <c r="C28" s="95">
        <f>C29</f>
        <v>26400</v>
      </c>
      <c r="D28" s="170">
        <f>D29</f>
        <v>26257.300000000003</v>
      </c>
      <c r="E28" s="275">
        <f t="shared" si="0"/>
        <v>99.4594696969697</v>
      </c>
    </row>
    <row r="29" spans="1:5" ht="12.75" customHeight="1">
      <c r="A29" s="237"/>
      <c r="B29" s="50" t="s">
        <v>70</v>
      </c>
      <c r="C29" s="95">
        <f>C30+C31</f>
        <v>26400</v>
      </c>
      <c r="D29" s="170">
        <f>D30+D31</f>
        <v>26257.300000000003</v>
      </c>
      <c r="E29" s="275">
        <f t="shared" si="0"/>
        <v>99.4594696969697</v>
      </c>
    </row>
    <row r="30" spans="1:5" ht="12.75" customHeight="1">
      <c r="A30" s="237"/>
      <c r="B30" s="50" t="s">
        <v>75</v>
      </c>
      <c r="C30" s="95">
        <f>'Fk-wyd'!F35</f>
        <v>21350</v>
      </c>
      <c r="D30" s="95">
        <f>'Fk-wyd'!G35</f>
        <v>21235.510000000002</v>
      </c>
      <c r="E30" s="275">
        <f t="shared" si="0"/>
        <v>99.46374707259955</v>
      </c>
    </row>
    <row r="31" spans="1:5" ht="12.75" customHeight="1">
      <c r="A31" s="237"/>
      <c r="B31" s="50" t="s">
        <v>76</v>
      </c>
      <c r="C31" s="104">
        <f>'Fk-wyd'!F36</f>
        <v>5050</v>
      </c>
      <c r="D31" s="104">
        <f>'Fk-wyd'!G36</f>
        <v>5021.79</v>
      </c>
      <c r="E31" s="276">
        <f t="shared" si="0"/>
        <v>99.44138613861386</v>
      </c>
    </row>
    <row r="32" spans="1:5" s="38" customFormat="1" ht="12.75" customHeight="1">
      <c r="A32" s="116">
        <v>600</v>
      </c>
      <c r="B32" s="11" t="s">
        <v>4</v>
      </c>
      <c r="C32" s="94">
        <f>C33+C37+C35+C42+C40</f>
        <v>5742647.33</v>
      </c>
      <c r="D32" s="94">
        <f>D33+D37+D35+D42+D40</f>
        <v>5609895.45</v>
      </c>
      <c r="E32" s="274">
        <f t="shared" si="0"/>
        <v>97.6883156430921</v>
      </c>
    </row>
    <row r="33" spans="1:5" s="38" customFormat="1" ht="12.75" customHeight="1">
      <c r="A33" s="238">
        <v>60013</v>
      </c>
      <c r="B33" s="83" t="s">
        <v>197</v>
      </c>
      <c r="C33" s="115">
        <f>C34</f>
        <v>80000</v>
      </c>
      <c r="D33" s="169">
        <f>D34</f>
        <v>80000</v>
      </c>
      <c r="E33" s="275">
        <f t="shared" si="0"/>
        <v>100</v>
      </c>
    </row>
    <row r="34" spans="1:5" s="38" customFormat="1" ht="12.75" customHeight="1">
      <c r="A34" s="239"/>
      <c r="B34" s="83" t="s">
        <v>227</v>
      </c>
      <c r="C34" s="115">
        <f>'Fk-wyd'!D41</f>
        <v>80000</v>
      </c>
      <c r="D34" s="115">
        <f>'Fk-wyd'!E41</f>
        <v>80000</v>
      </c>
      <c r="E34" s="275">
        <f t="shared" si="0"/>
        <v>100</v>
      </c>
    </row>
    <row r="35" spans="1:5" s="38" customFormat="1" ht="12.75" customHeight="1">
      <c r="A35" s="238">
        <v>60014</v>
      </c>
      <c r="B35" s="83" t="s">
        <v>511</v>
      </c>
      <c r="C35" s="115">
        <f>C36</f>
        <v>244200</v>
      </c>
      <c r="D35" s="115">
        <f>D36</f>
        <v>244119.31</v>
      </c>
      <c r="E35" s="275">
        <f t="shared" si="0"/>
        <v>99.96695741195741</v>
      </c>
    </row>
    <row r="36" spans="1:5" s="38" customFormat="1" ht="12.75" customHeight="1">
      <c r="A36" s="239"/>
      <c r="B36" s="83" t="s">
        <v>227</v>
      </c>
      <c r="C36" s="115">
        <f>'Fk-wyd'!D43</f>
        <v>244200</v>
      </c>
      <c r="D36" s="115">
        <f>'Fk-wyd'!E43</f>
        <v>244119.31</v>
      </c>
      <c r="E36" s="275">
        <f t="shared" si="0"/>
        <v>99.96695741195741</v>
      </c>
    </row>
    <row r="37" spans="1:5" ht="12.75" customHeight="1">
      <c r="A37" s="88">
        <v>60016</v>
      </c>
      <c r="B37" s="12" t="s">
        <v>28</v>
      </c>
      <c r="C37" s="95">
        <f>C38+C39</f>
        <v>5183716.33</v>
      </c>
      <c r="D37" s="170">
        <f>D38+D39</f>
        <v>5051045.9</v>
      </c>
      <c r="E37" s="275">
        <f t="shared" si="0"/>
        <v>97.44063097681119</v>
      </c>
    </row>
    <row r="38" spans="1:5" ht="12.75" customHeight="1">
      <c r="A38" s="88"/>
      <c r="B38" s="12" t="s">
        <v>23</v>
      </c>
      <c r="C38" s="104">
        <f>'Fk-wyd'!F45</f>
        <v>396818</v>
      </c>
      <c r="D38" s="104">
        <f>'Fk-wyd'!G45</f>
        <v>396260.32</v>
      </c>
      <c r="E38" s="275">
        <f t="shared" si="0"/>
        <v>99.85946202037206</v>
      </c>
    </row>
    <row r="39" spans="1:5" ht="12.75" customHeight="1">
      <c r="A39" s="88"/>
      <c r="B39" s="12" t="s">
        <v>56</v>
      </c>
      <c r="C39" s="104">
        <f>'Fk-wyd'!F46</f>
        <v>4786898.33</v>
      </c>
      <c r="D39" s="104">
        <f>'Fk-wyd'!G46</f>
        <v>4654785.58</v>
      </c>
      <c r="E39" s="275">
        <f t="shared" si="0"/>
        <v>97.24011790323527</v>
      </c>
    </row>
    <row r="40" spans="1:5" ht="12.75" customHeight="1">
      <c r="A40" s="238">
        <v>60017</v>
      </c>
      <c r="B40" s="83" t="s">
        <v>564</v>
      </c>
      <c r="C40" s="104">
        <f>C41</f>
        <v>11541</v>
      </c>
      <c r="D40" s="104">
        <f>D41</f>
        <v>11541</v>
      </c>
      <c r="E40" s="275">
        <f t="shared" si="0"/>
        <v>100</v>
      </c>
    </row>
    <row r="41" spans="1:5" ht="12.75" customHeight="1">
      <c r="A41" s="239"/>
      <c r="B41" s="12" t="s">
        <v>23</v>
      </c>
      <c r="C41" s="104">
        <f>'Fk-wyd'!D54</f>
        <v>11541</v>
      </c>
      <c r="D41" s="104">
        <f>'Fk-wyd'!E54</f>
        <v>11541</v>
      </c>
      <c r="E41" s="275">
        <f t="shared" si="0"/>
        <v>100</v>
      </c>
    </row>
    <row r="42" spans="1:5" ht="12.75" customHeight="1">
      <c r="A42" s="118">
        <v>60078</v>
      </c>
      <c r="B42" s="12" t="s">
        <v>510</v>
      </c>
      <c r="C42" s="104">
        <f>C43</f>
        <v>223190</v>
      </c>
      <c r="D42" s="104">
        <f>D43</f>
        <v>223189.24</v>
      </c>
      <c r="E42" s="275">
        <f t="shared" si="0"/>
        <v>99.99965948295174</v>
      </c>
    </row>
    <row r="43" spans="1:5" ht="12.75" customHeight="1">
      <c r="A43" s="118"/>
      <c r="B43" s="12" t="s">
        <v>23</v>
      </c>
      <c r="C43" s="104">
        <f>'Fk-wyd'!F56</f>
        <v>223190</v>
      </c>
      <c r="D43" s="104">
        <f>'Fk-wyd'!G56</f>
        <v>223189.24</v>
      </c>
      <c r="E43" s="275">
        <f t="shared" si="0"/>
        <v>99.99965948295174</v>
      </c>
    </row>
    <row r="44" spans="1:5" s="38" customFormat="1" ht="12.75" customHeight="1">
      <c r="A44" s="116">
        <v>630</v>
      </c>
      <c r="B44" s="11" t="s">
        <v>5</v>
      </c>
      <c r="C44" s="97">
        <f>C45+C49</f>
        <v>894204.91</v>
      </c>
      <c r="D44" s="97">
        <f>D45+D49</f>
        <v>832291.4099999999</v>
      </c>
      <c r="E44" s="274">
        <f t="shared" si="0"/>
        <v>93.07613956179237</v>
      </c>
    </row>
    <row r="45" spans="1:5" ht="12.75" customHeight="1">
      <c r="A45" s="88">
        <v>63001</v>
      </c>
      <c r="B45" s="12" t="s">
        <v>29</v>
      </c>
      <c r="C45" s="98">
        <f>C46</f>
        <v>338300</v>
      </c>
      <c r="D45" s="95">
        <f>D46</f>
        <v>338258.37</v>
      </c>
      <c r="E45" s="275">
        <f t="shared" si="0"/>
        <v>99.98769435412356</v>
      </c>
    </row>
    <row r="46" spans="1:5" ht="12.75" customHeight="1">
      <c r="A46" s="240"/>
      <c r="B46" s="12" t="s">
        <v>23</v>
      </c>
      <c r="C46" s="98">
        <f>C47+C48</f>
        <v>338300</v>
      </c>
      <c r="D46" s="170">
        <f>D47+D48</f>
        <v>338258.37</v>
      </c>
      <c r="E46" s="275">
        <f t="shared" si="0"/>
        <v>99.98769435412356</v>
      </c>
    </row>
    <row r="47" spans="1:5" ht="12.75" customHeight="1">
      <c r="A47" s="88"/>
      <c r="B47" s="12" t="s">
        <v>77</v>
      </c>
      <c r="C47" s="105">
        <f>'Fk-wyd'!F59</f>
        <v>110838.06</v>
      </c>
      <c r="D47" s="105">
        <f>'Fk-wyd'!G59</f>
        <v>110838.06</v>
      </c>
      <c r="E47" s="275">
        <f t="shared" si="0"/>
        <v>100</v>
      </c>
    </row>
    <row r="48" spans="1:5" ht="12.75" customHeight="1">
      <c r="A48" s="88"/>
      <c r="B48" s="12" t="s">
        <v>76</v>
      </c>
      <c r="C48" s="105">
        <f>'Fk-wyd'!F60</f>
        <v>227461.93999999997</v>
      </c>
      <c r="D48" s="105">
        <f>'Fk-wyd'!G60</f>
        <v>227420.30999999997</v>
      </c>
      <c r="E48" s="275">
        <f t="shared" si="0"/>
        <v>99.98169803704303</v>
      </c>
    </row>
    <row r="49" spans="1:5" ht="12.75" customHeight="1">
      <c r="A49" s="88">
        <v>63095</v>
      </c>
      <c r="B49" s="12" t="s">
        <v>299</v>
      </c>
      <c r="C49" s="105">
        <f>C50+C53</f>
        <v>555904.91</v>
      </c>
      <c r="D49" s="105">
        <f>D50+D53</f>
        <v>494033.04</v>
      </c>
      <c r="E49" s="275">
        <f t="shared" si="0"/>
        <v>88.87006232774594</v>
      </c>
    </row>
    <row r="50" spans="1:5" ht="12.75" customHeight="1">
      <c r="A50" s="88"/>
      <c r="B50" s="12" t="s">
        <v>23</v>
      </c>
      <c r="C50" s="98">
        <f>C51+C52</f>
        <v>438258.91000000003</v>
      </c>
      <c r="D50" s="98">
        <f>D51+D52</f>
        <v>406053.04</v>
      </c>
      <c r="E50" s="275">
        <f t="shared" si="0"/>
        <v>92.65140553559993</v>
      </c>
    </row>
    <row r="51" spans="1:5" ht="12.75" customHeight="1">
      <c r="A51" s="88"/>
      <c r="B51" s="12" t="s">
        <v>77</v>
      </c>
      <c r="C51" s="105">
        <f>'Fk-wyd'!F77</f>
        <v>120957</v>
      </c>
      <c r="D51" s="105">
        <f>'Fk-wyd'!G77</f>
        <v>115250</v>
      </c>
      <c r="E51" s="275">
        <f t="shared" si="0"/>
        <v>95.28179435667221</v>
      </c>
    </row>
    <row r="52" spans="1:5" ht="12.75" customHeight="1">
      <c r="A52" s="88"/>
      <c r="B52" s="12" t="s">
        <v>76</v>
      </c>
      <c r="C52" s="105">
        <f>'Fk-wyd'!F78</f>
        <v>317301.91000000003</v>
      </c>
      <c r="D52" s="105">
        <f>'Fk-wyd'!G78</f>
        <v>290803.04</v>
      </c>
      <c r="E52" s="275">
        <f t="shared" si="0"/>
        <v>91.64868878349958</v>
      </c>
    </row>
    <row r="53" spans="1:5" ht="12.75" customHeight="1">
      <c r="A53" s="205"/>
      <c r="B53" s="12" t="s">
        <v>56</v>
      </c>
      <c r="C53" s="105">
        <f>'Fk-wyd'!F79</f>
        <v>117646</v>
      </c>
      <c r="D53" s="105">
        <f>'Fk-wyd'!G79</f>
        <v>87980</v>
      </c>
      <c r="E53" s="276">
        <f>D53/C53%</f>
        <v>74.78367305305747</v>
      </c>
    </row>
    <row r="54" spans="1:5" s="38" customFormat="1" ht="12.75" customHeight="1">
      <c r="A54" s="117">
        <v>700</v>
      </c>
      <c r="B54" s="11" t="s">
        <v>6</v>
      </c>
      <c r="C54" s="97">
        <f>C57+C55</f>
        <v>958972.3999999999</v>
      </c>
      <c r="D54" s="158">
        <f>D57+D55</f>
        <v>877381.39</v>
      </c>
      <c r="E54" s="277">
        <f t="shared" si="0"/>
        <v>91.49182917047457</v>
      </c>
    </row>
    <row r="55" spans="1:5" ht="12.75" customHeight="1">
      <c r="A55" s="118">
        <v>70004</v>
      </c>
      <c r="B55" s="28" t="s">
        <v>116</v>
      </c>
      <c r="C55" s="98">
        <f>C56</f>
        <v>69880</v>
      </c>
      <c r="D55" s="155">
        <f>D56</f>
        <v>69880</v>
      </c>
      <c r="E55" s="275">
        <f t="shared" si="0"/>
        <v>100</v>
      </c>
    </row>
    <row r="56" spans="1:5" ht="12.75" customHeight="1">
      <c r="A56" s="118"/>
      <c r="B56" s="12" t="s">
        <v>226</v>
      </c>
      <c r="C56" s="98">
        <f>'Fk-wyd'!D90</f>
        <v>69880</v>
      </c>
      <c r="D56" s="98">
        <f>'Fk-wyd'!E90</f>
        <v>69880</v>
      </c>
      <c r="E56" s="275">
        <f t="shared" si="0"/>
        <v>100</v>
      </c>
    </row>
    <row r="57" spans="1:5" ht="12.75" customHeight="1">
      <c r="A57" s="118">
        <v>70005</v>
      </c>
      <c r="B57" s="12" t="s">
        <v>30</v>
      </c>
      <c r="C57" s="98">
        <f>C58+C59</f>
        <v>889092.3999999999</v>
      </c>
      <c r="D57" s="155">
        <f>D58+D59</f>
        <v>807501.39</v>
      </c>
      <c r="E57" s="275">
        <f t="shared" si="0"/>
        <v>90.82311242341068</v>
      </c>
    </row>
    <row r="58" spans="1:5" ht="12.75" customHeight="1">
      <c r="A58" s="118"/>
      <c r="B58" s="12" t="s">
        <v>23</v>
      </c>
      <c r="C58" s="105">
        <f>'Fk-wyd'!F92</f>
        <v>283869.19</v>
      </c>
      <c r="D58" s="105">
        <f>'Fk-wyd'!G92</f>
        <v>258254.36</v>
      </c>
      <c r="E58" s="275">
        <f t="shared" si="0"/>
        <v>90.97653746783863</v>
      </c>
    </row>
    <row r="59" spans="1:5" ht="12.75" customHeight="1">
      <c r="A59" s="118"/>
      <c r="B59" s="83" t="s">
        <v>56</v>
      </c>
      <c r="C59" s="105">
        <f>'Fk-wyd'!D100</f>
        <v>605223.21</v>
      </c>
      <c r="D59" s="105">
        <f>'Fk-wyd'!E100</f>
        <v>549247.03</v>
      </c>
      <c r="E59" s="275">
        <f t="shared" si="0"/>
        <v>90.75115113314972</v>
      </c>
    </row>
    <row r="60" spans="1:5" s="38" customFormat="1" ht="12.75" customHeight="1">
      <c r="A60" s="117">
        <v>710</v>
      </c>
      <c r="B60" s="11" t="s">
        <v>31</v>
      </c>
      <c r="C60" s="158">
        <f>C63+C65+C61</f>
        <v>150000</v>
      </c>
      <c r="D60" s="94">
        <f>D63+D65+D61</f>
        <v>133164.85</v>
      </c>
      <c r="E60" s="279">
        <f t="shared" si="0"/>
        <v>88.77656666666667</v>
      </c>
    </row>
    <row r="61" spans="1:5" s="38" customFormat="1" ht="12.75" customHeight="1">
      <c r="A61" s="118">
        <v>71004</v>
      </c>
      <c r="B61" s="12" t="s">
        <v>125</v>
      </c>
      <c r="C61" s="155">
        <f>C62</f>
        <v>55000</v>
      </c>
      <c r="D61" s="95">
        <f>D62</f>
        <v>48867.4</v>
      </c>
      <c r="E61" s="280">
        <f t="shared" si="0"/>
        <v>88.84981818181818</v>
      </c>
    </row>
    <row r="62" spans="1:5" s="38" customFormat="1" ht="12.75" customHeight="1">
      <c r="A62" s="235"/>
      <c r="B62" s="40" t="str">
        <f>B69</f>
        <v>Wydatki bieżące</v>
      </c>
      <c r="C62" s="159">
        <f>'Fk-wyd'!F102</f>
        <v>55000</v>
      </c>
      <c r="D62" s="96">
        <f>'Fk-wyd'!G102</f>
        <v>48867.4</v>
      </c>
      <c r="E62" s="282">
        <f t="shared" si="0"/>
        <v>88.84981818181818</v>
      </c>
    </row>
    <row r="63" spans="1:5" ht="12.75" customHeight="1">
      <c r="A63" s="248">
        <v>71035</v>
      </c>
      <c r="B63" s="42" t="s">
        <v>32</v>
      </c>
      <c r="C63" s="189">
        <f>C64</f>
        <v>54000</v>
      </c>
      <c r="D63" s="190">
        <f>D64</f>
        <v>50243.42</v>
      </c>
      <c r="E63" s="281">
        <f t="shared" si="0"/>
        <v>93.04337037037037</v>
      </c>
    </row>
    <row r="64" spans="1:5" ht="12.75" customHeight="1">
      <c r="A64" s="118"/>
      <c r="B64" s="12" t="s">
        <v>23</v>
      </c>
      <c r="C64" s="156">
        <f>'Fk-wyd'!F107</f>
        <v>54000</v>
      </c>
      <c r="D64" s="104">
        <f>'Fk-wyd'!G107</f>
        <v>50243.42</v>
      </c>
      <c r="E64" s="280">
        <f t="shared" si="0"/>
        <v>93.04337037037037</v>
      </c>
    </row>
    <row r="65" spans="1:5" ht="12.75" customHeight="1">
      <c r="A65" s="118">
        <v>71095</v>
      </c>
      <c r="B65" s="12" t="s">
        <v>26</v>
      </c>
      <c r="C65" s="155">
        <f>C66</f>
        <v>41000</v>
      </c>
      <c r="D65" s="95">
        <f>D66</f>
        <v>34054.03</v>
      </c>
      <c r="E65" s="280">
        <f t="shared" si="0"/>
        <v>83.05860975609755</v>
      </c>
    </row>
    <row r="66" spans="1:5" ht="12.75" customHeight="1">
      <c r="A66" s="235"/>
      <c r="B66" s="40" t="s">
        <v>23</v>
      </c>
      <c r="C66" s="172">
        <f>'Fk-wyd'!F111</f>
        <v>41000</v>
      </c>
      <c r="D66" s="102">
        <f>'Fk-wyd'!G111</f>
        <v>34054.03</v>
      </c>
      <c r="E66" s="282">
        <f t="shared" si="0"/>
        <v>83.05860975609755</v>
      </c>
    </row>
    <row r="67" spans="1:5" s="38" customFormat="1" ht="12.75" customHeight="1">
      <c r="A67" s="117">
        <v>750</v>
      </c>
      <c r="B67" s="11" t="s">
        <v>7</v>
      </c>
      <c r="C67" s="177">
        <f>C68+C72+C74+C83+C79</f>
        <v>3828290.74</v>
      </c>
      <c r="D67" s="93">
        <f>D68+D72+D74+D83+D79</f>
        <v>3696530.43</v>
      </c>
      <c r="E67" s="279">
        <f t="shared" si="0"/>
        <v>96.55824703637843</v>
      </c>
    </row>
    <row r="68" spans="1:5" ht="12.75" customHeight="1">
      <c r="A68" s="118">
        <v>75011</v>
      </c>
      <c r="B68" s="12" t="s">
        <v>33</v>
      </c>
      <c r="C68" s="155">
        <f>C69</f>
        <v>256950</v>
      </c>
      <c r="D68" s="95">
        <f>D69</f>
        <v>248212.91999999998</v>
      </c>
      <c r="E68" s="280">
        <f t="shared" si="0"/>
        <v>96.5996964389959</v>
      </c>
    </row>
    <row r="69" spans="1:5" ht="12.75" customHeight="1">
      <c r="A69" s="118"/>
      <c r="B69" s="12" t="s">
        <v>23</v>
      </c>
      <c r="C69" s="155">
        <f>C70+C71</f>
        <v>256950</v>
      </c>
      <c r="D69" s="95">
        <f>D70+D71</f>
        <v>248212.91999999998</v>
      </c>
      <c r="E69" s="280">
        <f t="shared" si="0"/>
        <v>96.5996964389959</v>
      </c>
    </row>
    <row r="70" spans="1:5" ht="12.75" customHeight="1">
      <c r="A70" s="118"/>
      <c r="B70" s="12" t="s">
        <v>71</v>
      </c>
      <c r="C70" s="156">
        <f>'Fk-wyd'!F116</f>
        <v>205200</v>
      </c>
      <c r="D70" s="104">
        <f>'Fk-wyd'!G116</f>
        <v>203469.09999999998</v>
      </c>
      <c r="E70" s="280">
        <f t="shared" si="0"/>
        <v>99.15648148148146</v>
      </c>
    </row>
    <row r="71" spans="1:5" ht="12.75" customHeight="1">
      <c r="A71" s="118"/>
      <c r="B71" s="12" t="s">
        <v>72</v>
      </c>
      <c r="C71" s="156">
        <f>'Fk-wyd'!F117</f>
        <v>51750</v>
      </c>
      <c r="D71" s="104">
        <f>'Fk-wyd'!G117</f>
        <v>44743.82</v>
      </c>
      <c r="E71" s="280">
        <f t="shared" si="0"/>
        <v>86.46148792270532</v>
      </c>
    </row>
    <row r="72" spans="1:5" ht="12.75" customHeight="1">
      <c r="A72" s="118">
        <v>75022</v>
      </c>
      <c r="B72" s="12" t="s">
        <v>34</v>
      </c>
      <c r="C72" s="155">
        <f>C73</f>
        <v>176500</v>
      </c>
      <c r="D72" s="95">
        <f>D73</f>
        <v>169072.1</v>
      </c>
      <c r="E72" s="280">
        <f t="shared" si="0"/>
        <v>95.7915580736544</v>
      </c>
    </row>
    <row r="73" spans="1:5" ht="12.75" customHeight="1">
      <c r="A73" s="118"/>
      <c r="B73" s="12" t="s">
        <v>23</v>
      </c>
      <c r="C73" s="156">
        <f>'Fk-wyd'!F131</f>
        <v>176500</v>
      </c>
      <c r="D73" s="104">
        <f>'Fk-wyd'!G131</f>
        <v>169072.1</v>
      </c>
      <c r="E73" s="280">
        <f aca="true" t="shared" si="1" ref="E73:E154">D73/C73%</f>
        <v>95.7915580736544</v>
      </c>
    </row>
    <row r="74" spans="1:5" ht="12.75" customHeight="1">
      <c r="A74" s="118">
        <v>75023</v>
      </c>
      <c r="B74" s="12" t="s">
        <v>35</v>
      </c>
      <c r="C74" s="155">
        <f>C75+C78</f>
        <v>3264190.74</v>
      </c>
      <c r="D74" s="95">
        <f>D75+D78</f>
        <v>3153175.71</v>
      </c>
      <c r="E74" s="280">
        <f t="shared" si="1"/>
        <v>96.59900297370488</v>
      </c>
    </row>
    <row r="75" spans="1:5" ht="12.75" customHeight="1">
      <c r="A75" s="118"/>
      <c r="B75" s="12" t="s">
        <v>23</v>
      </c>
      <c r="C75" s="155">
        <f>C76+C77</f>
        <v>3070895.74</v>
      </c>
      <c r="D75" s="95">
        <f>D76+D77</f>
        <v>3044883.12</v>
      </c>
      <c r="E75" s="280">
        <f t="shared" si="1"/>
        <v>99.15293053876195</v>
      </c>
    </row>
    <row r="76" spans="1:5" ht="12.75" customHeight="1">
      <c r="A76" s="118"/>
      <c r="B76" s="12" t="s">
        <v>71</v>
      </c>
      <c r="C76" s="156">
        <f>'Fk-wyd'!F138</f>
        <v>2087300</v>
      </c>
      <c r="D76" s="104">
        <f>'Fk-wyd'!G138</f>
        <v>2081778.5000000002</v>
      </c>
      <c r="E76" s="280">
        <f t="shared" si="1"/>
        <v>99.73547166195564</v>
      </c>
    </row>
    <row r="77" spans="1:5" ht="12.75" customHeight="1">
      <c r="A77" s="118"/>
      <c r="B77" s="12" t="s">
        <v>72</v>
      </c>
      <c r="C77" s="156">
        <f>'Fk-wyd'!F139</f>
        <v>983595.74</v>
      </c>
      <c r="D77" s="104">
        <f>'Fk-wyd'!G139</f>
        <v>963104.6200000001</v>
      </c>
      <c r="E77" s="280">
        <f t="shared" si="1"/>
        <v>97.9167132220398</v>
      </c>
    </row>
    <row r="78" spans="1:5" ht="12.75" customHeight="1">
      <c r="A78" s="118"/>
      <c r="B78" s="12" t="s">
        <v>56</v>
      </c>
      <c r="C78" s="156">
        <f>'Fk-wyd'!F140</f>
        <v>193295</v>
      </c>
      <c r="D78" s="104">
        <f>'Fk-wyd'!G140</f>
        <v>108292.59</v>
      </c>
      <c r="E78" s="280">
        <f t="shared" si="1"/>
        <v>56.024516930080964</v>
      </c>
    </row>
    <row r="79" spans="1:5" ht="12.75" customHeight="1">
      <c r="A79" s="118">
        <v>75075</v>
      </c>
      <c r="B79" s="12" t="s">
        <v>294</v>
      </c>
      <c r="C79" s="156">
        <f>C80</f>
        <v>6000</v>
      </c>
      <c r="D79" s="104">
        <f>D80</f>
        <v>5233.2</v>
      </c>
      <c r="E79" s="280">
        <f t="shared" si="1"/>
        <v>87.22</v>
      </c>
    </row>
    <row r="80" spans="1:5" ht="12.75" customHeight="1">
      <c r="A80" s="118"/>
      <c r="B80" s="12" t="s">
        <v>23</v>
      </c>
      <c r="C80" s="156">
        <f>C81+C82</f>
        <v>6000</v>
      </c>
      <c r="D80" s="104">
        <f>D81+D82</f>
        <v>5233.2</v>
      </c>
      <c r="E80" s="280">
        <f t="shared" si="1"/>
        <v>87.22</v>
      </c>
    </row>
    <row r="81" spans="1:5" ht="12.75" customHeight="1">
      <c r="A81" s="118"/>
      <c r="B81" s="12" t="s">
        <v>71</v>
      </c>
      <c r="C81" s="156">
        <f>'Fk-wyd'!F163</f>
        <v>400</v>
      </c>
      <c r="D81" s="104">
        <f>'Fk-wyd'!G163</f>
        <v>244</v>
      </c>
      <c r="E81" s="280">
        <f t="shared" si="1"/>
        <v>61</v>
      </c>
    </row>
    <row r="82" spans="1:5" ht="12.75" customHeight="1">
      <c r="A82" s="118"/>
      <c r="B82" s="12" t="s">
        <v>72</v>
      </c>
      <c r="C82" s="156">
        <f>'Fk-wyd'!F164</f>
        <v>5600</v>
      </c>
      <c r="D82" s="104">
        <f>'Fk-wyd'!G164</f>
        <v>4989.2</v>
      </c>
      <c r="E82" s="280">
        <f t="shared" si="1"/>
        <v>89.09285714285714</v>
      </c>
    </row>
    <row r="83" spans="1:5" ht="12.75" customHeight="1">
      <c r="A83" s="118">
        <v>75095</v>
      </c>
      <c r="B83" s="12" t="s">
        <v>26</v>
      </c>
      <c r="C83" s="155">
        <f>C84</f>
        <v>124650</v>
      </c>
      <c r="D83" s="95">
        <f>D84</f>
        <v>120836.5</v>
      </c>
      <c r="E83" s="280">
        <f t="shared" si="1"/>
        <v>96.9406337745688</v>
      </c>
    </row>
    <row r="84" spans="1:5" ht="12.75" customHeight="1">
      <c r="A84" s="118"/>
      <c r="B84" s="12" t="s">
        <v>23</v>
      </c>
      <c r="C84" s="155">
        <f>C86+C87+C85</f>
        <v>124650</v>
      </c>
      <c r="D84" s="95">
        <f>D86+D87+D85</f>
        <v>120836.5</v>
      </c>
      <c r="E84" s="280">
        <f t="shared" si="1"/>
        <v>96.9406337745688</v>
      </c>
    </row>
    <row r="85" spans="1:5" ht="12.75" customHeight="1">
      <c r="A85" s="118"/>
      <c r="B85" s="12" t="s">
        <v>229</v>
      </c>
      <c r="C85" s="155">
        <f>'Fk-wyd'!D167</f>
        <v>7000</v>
      </c>
      <c r="D85" s="95">
        <f>'Fk-wyd'!E167</f>
        <v>7000</v>
      </c>
      <c r="E85" s="280">
        <f t="shared" si="1"/>
        <v>100</v>
      </c>
    </row>
    <row r="86" spans="1:5" ht="12.75" customHeight="1">
      <c r="A86" s="118"/>
      <c r="B86" s="12" t="s">
        <v>71</v>
      </c>
      <c r="C86" s="155">
        <f>'Fk-wyd'!D169</f>
        <v>390</v>
      </c>
      <c r="D86" s="95">
        <f>'Fk-wyd'!E169</f>
        <v>322</v>
      </c>
      <c r="E86" s="280">
        <f t="shared" si="1"/>
        <v>82.56410256410257</v>
      </c>
    </row>
    <row r="87" spans="1:5" ht="12.75" customHeight="1">
      <c r="A87" s="235"/>
      <c r="B87" s="40" t="s">
        <v>72</v>
      </c>
      <c r="C87" s="172">
        <f>'Fk-wyd'!F168</f>
        <v>117260</v>
      </c>
      <c r="D87" s="102">
        <f>'Fk-wyd'!G168</f>
        <v>113514.5</v>
      </c>
      <c r="E87" s="282">
        <f t="shared" si="1"/>
        <v>96.80581613508444</v>
      </c>
    </row>
    <row r="88" spans="1:5" s="38" customFormat="1" ht="12.75" customHeight="1">
      <c r="A88" s="241">
        <v>751</v>
      </c>
      <c r="B88" s="27" t="s">
        <v>168</v>
      </c>
      <c r="C88" s="366">
        <f>C89+C93</f>
        <v>48142</v>
      </c>
      <c r="D88" s="94">
        <f>D89+D93</f>
        <v>46305.28</v>
      </c>
      <c r="E88" s="277">
        <f t="shared" si="1"/>
        <v>96.18478667275974</v>
      </c>
    </row>
    <row r="89" spans="1:5" ht="12.75" customHeight="1">
      <c r="A89" s="118">
        <v>75101</v>
      </c>
      <c r="B89" s="12" t="s">
        <v>168</v>
      </c>
      <c r="C89" s="155">
        <f>C90</f>
        <v>2946</v>
      </c>
      <c r="D89" s="95">
        <f>D90</f>
        <v>2934.75</v>
      </c>
      <c r="E89" s="275">
        <f t="shared" si="1"/>
        <v>99.61812627291242</v>
      </c>
    </row>
    <row r="90" spans="1:5" ht="12.75" customHeight="1">
      <c r="A90" s="118"/>
      <c r="B90" s="12" t="s">
        <v>23</v>
      </c>
      <c r="C90" s="156">
        <f>C91+C92</f>
        <v>2946</v>
      </c>
      <c r="D90" s="104">
        <f>D91+D92</f>
        <v>2934.75</v>
      </c>
      <c r="E90" s="275">
        <f t="shared" si="1"/>
        <v>99.61812627291242</v>
      </c>
    </row>
    <row r="91" spans="1:5" ht="12.75" customHeight="1">
      <c r="A91" s="118"/>
      <c r="B91" s="12" t="s">
        <v>71</v>
      </c>
      <c r="C91" s="155">
        <f>'Fk-wyd'!F174</f>
        <v>1073</v>
      </c>
      <c r="D91" s="95">
        <f>'Fk-wyd'!G174</f>
        <v>1066.71</v>
      </c>
      <c r="E91" s="275">
        <f t="shared" si="1"/>
        <v>99.41379310344827</v>
      </c>
    </row>
    <row r="92" spans="1:5" ht="12.75" customHeight="1">
      <c r="A92" s="118"/>
      <c r="B92" s="12" t="s">
        <v>72</v>
      </c>
      <c r="C92" s="155">
        <f>'Fk-wyd'!D177</f>
        <v>1873</v>
      </c>
      <c r="D92" s="95">
        <f>'Fk-wyd'!E177</f>
        <v>1868.04</v>
      </c>
      <c r="E92" s="275">
        <f t="shared" si="1"/>
        <v>99.73518419647624</v>
      </c>
    </row>
    <row r="93" spans="1:5" ht="12.75" customHeight="1">
      <c r="A93" s="244">
        <v>75113</v>
      </c>
      <c r="B93" s="83" t="s">
        <v>512</v>
      </c>
      <c r="C93" s="155">
        <f>C94</f>
        <v>45196</v>
      </c>
      <c r="D93" s="95">
        <f>D94</f>
        <v>43370.53</v>
      </c>
      <c r="E93" s="275">
        <f t="shared" si="1"/>
        <v>95.96099212319675</v>
      </c>
    </row>
    <row r="94" spans="1:5" ht="12.75" customHeight="1">
      <c r="A94" s="118"/>
      <c r="B94" s="12" t="s">
        <v>23</v>
      </c>
      <c r="C94" s="155">
        <f>C95+C96</f>
        <v>45196</v>
      </c>
      <c r="D94" s="95">
        <f>D95+D96</f>
        <v>43370.53</v>
      </c>
      <c r="E94" s="275">
        <f t="shared" si="1"/>
        <v>95.96099212319675</v>
      </c>
    </row>
    <row r="95" spans="1:5" ht="12.75" customHeight="1">
      <c r="A95" s="118"/>
      <c r="B95" s="12" t="s">
        <v>71</v>
      </c>
      <c r="C95" s="155">
        <f>'Fk-wyd'!F180</f>
        <v>7240</v>
      </c>
      <c r="D95" s="95">
        <f>'Fk-wyd'!G180</f>
        <v>7227.98</v>
      </c>
      <c r="E95" s="275">
        <f t="shared" si="1"/>
        <v>99.83397790055247</v>
      </c>
    </row>
    <row r="96" spans="1:5" ht="12.75" customHeight="1">
      <c r="A96" s="235"/>
      <c r="B96" s="40" t="s">
        <v>72</v>
      </c>
      <c r="C96" s="159">
        <f>'Fk-wyd'!F181</f>
        <v>37956</v>
      </c>
      <c r="D96" s="96">
        <f>'Fk-wyd'!G181</f>
        <v>36142.55</v>
      </c>
      <c r="E96" s="276">
        <f t="shared" si="1"/>
        <v>95.2222310043208</v>
      </c>
    </row>
    <row r="97" spans="1:5" s="38" customFormat="1" ht="12.75" customHeight="1">
      <c r="A97" s="241">
        <v>754</v>
      </c>
      <c r="B97" s="11" t="s">
        <v>37</v>
      </c>
      <c r="C97" s="150">
        <f>C98+C100+C104+C106</f>
        <v>177393</v>
      </c>
      <c r="D97" s="150">
        <f>D98+D100+D104+D106</f>
        <v>162553.1</v>
      </c>
      <c r="E97" s="274">
        <f t="shared" si="1"/>
        <v>91.6344500628548</v>
      </c>
    </row>
    <row r="98" spans="1:5" s="38" customFormat="1" ht="12.75" customHeight="1">
      <c r="A98" s="118">
        <v>75404</v>
      </c>
      <c r="B98" s="249" t="s">
        <v>513</v>
      </c>
      <c r="C98" s="98">
        <f>C99</f>
        <v>2000</v>
      </c>
      <c r="D98" s="98">
        <f>D99</f>
        <v>1995.99</v>
      </c>
      <c r="E98" s="275">
        <f t="shared" si="1"/>
        <v>99.7995</v>
      </c>
    </row>
    <row r="99" spans="1:5" s="38" customFormat="1" ht="12.75" customHeight="1">
      <c r="A99" s="118"/>
      <c r="B99" s="12" t="s">
        <v>229</v>
      </c>
      <c r="C99" s="98">
        <f>'Fk-wyd'!D188</f>
        <v>2000</v>
      </c>
      <c r="D99" s="98">
        <f>'Fk-wyd'!E188</f>
        <v>1995.99</v>
      </c>
      <c r="E99" s="275">
        <f t="shared" si="1"/>
        <v>99.7995</v>
      </c>
    </row>
    <row r="100" spans="1:5" ht="12.75" customHeight="1">
      <c r="A100" s="118">
        <v>75412</v>
      </c>
      <c r="B100" s="12" t="s">
        <v>38</v>
      </c>
      <c r="C100" s="98">
        <f>C101</f>
        <v>154692.9</v>
      </c>
      <c r="D100" s="98">
        <f>D101</f>
        <v>139916.90000000002</v>
      </c>
      <c r="E100" s="275">
        <f t="shared" si="1"/>
        <v>90.44817182947637</v>
      </c>
    </row>
    <row r="101" spans="1:5" ht="12.75" customHeight="1">
      <c r="A101" s="118"/>
      <c r="B101" s="12" t="s">
        <v>84</v>
      </c>
      <c r="C101" s="105">
        <f>C102+C103</f>
        <v>154692.9</v>
      </c>
      <c r="D101" s="156">
        <f>D102+D103</f>
        <v>139916.90000000002</v>
      </c>
      <c r="E101" s="275">
        <f t="shared" si="1"/>
        <v>90.44817182947637</v>
      </c>
    </row>
    <row r="102" spans="1:5" ht="12.75" customHeight="1">
      <c r="A102" s="118"/>
      <c r="B102" s="12" t="s">
        <v>75</v>
      </c>
      <c r="C102" s="105">
        <f>'Fk-wyd'!F192</f>
        <v>49990</v>
      </c>
      <c r="D102" s="105">
        <f>'Fk-wyd'!G192</f>
        <v>48604.520000000004</v>
      </c>
      <c r="E102" s="275">
        <f t="shared" si="1"/>
        <v>97.22848569713945</v>
      </c>
    </row>
    <row r="103" spans="1:5" ht="12.75" customHeight="1">
      <c r="A103" s="118"/>
      <c r="B103" s="12" t="s">
        <v>76</v>
      </c>
      <c r="C103" s="105">
        <f>'Fk-wyd'!F193</f>
        <v>104702.9</v>
      </c>
      <c r="D103" s="105">
        <f>'Fk-wyd'!G193</f>
        <v>91312.38</v>
      </c>
      <c r="E103" s="275">
        <f t="shared" si="1"/>
        <v>87.21093685084176</v>
      </c>
    </row>
    <row r="104" spans="1:5" ht="12.75" customHeight="1" hidden="1">
      <c r="A104" s="118">
        <v>75421</v>
      </c>
      <c r="B104" s="12" t="s">
        <v>449</v>
      </c>
      <c r="C104" s="105">
        <f>C105</f>
        <v>0</v>
      </c>
      <c r="D104" s="105">
        <f>D105</f>
        <v>0</v>
      </c>
      <c r="E104" s="275" t="e">
        <f t="shared" si="1"/>
        <v>#DIV/0!</v>
      </c>
    </row>
    <row r="105" spans="1:5" ht="12.75" customHeight="1" hidden="1">
      <c r="A105" s="118"/>
      <c r="B105" s="12" t="s">
        <v>23</v>
      </c>
      <c r="C105" s="105">
        <f>'Fk-wyd'!F203</f>
        <v>0</v>
      </c>
      <c r="D105" s="105"/>
      <c r="E105" s="275" t="e">
        <f t="shared" si="1"/>
        <v>#DIV/0!</v>
      </c>
    </row>
    <row r="106" spans="1:5" ht="12.75" customHeight="1">
      <c r="A106" s="118">
        <v>75495</v>
      </c>
      <c r="B106" s="12" t="s">
        <v>299</v>
      </c>
      <c r="C106" s="105">
        <f>C107+C108</f>
        <v>20700.1</v>
      </c>
      <c r="D106" s="105">
        <f>D107+D108</f>
        <v>20640.21</v>
      </c>
      <c r="E106" s="275">
        <f t="shared" si="1"/>
        <v>99.71067772619456</v>
      </c>
    </row>
    <row r="107" spans="1:5" ht="12.75" customHeight="1">
      <c r="A107" s="118"/>
      <c r="B107" s="12" t="s">
        <v>23</v>
      </c>
      <c r="C107" s="105">
        <f>'Fk-wyd'!D204</f>
        <v>3000</v>
      </c>
      <c r="D107" s="105">
        <f>'Fk-wyd'!E204</f>
        <v>2940.2</v>
      </c>
      <c r="E107" s="275">
        <f t="shared" si="1"/>
        <v>98.00666666666666</v>
      </c>
    </row>
    <row r="108" spans="1:5" ht="12.75" customHeight="1">
      <c r="A108" s="118"/>
      <c r="B108" s="40" t="s">
        <v>56</v>
      </c>
      <c r="C108" s="105">
        <f>'Fk-wyd'!D205</f>
        <v>17700.1</v>
      </c>
      <c r="D108" s="105">
        <f>'Fk-wyd'!E205</f>
        <v>17700.01</v>
      </c>
      <c r="E108" s="275">
        <f t="shared" si="1"/>
        <v>99.99949152829646</v>
      </c>
    </row>
    <row r="109" spans="1:5" ht="24.75" customHeight="1">
      <c r="A109" s="117">
        <v>756</v>
      </c>
      <c r="B109" s="11" t="s">
        <v>211</v>
      </c>
      <c r="C109" s="365">
        <f>C110</f>
        <v>60000</v>
      </c>
      <c r="D109" s="106">
        <f>D110</f>
        <v>55227.85</v>
      </c>
      <c r="E109" s="274">
        <f t="shared" si="1"/>
        <v>92.04641666666666</v>
      </c>
    </row>
    <row r="110" spans="1:5" ht="12.75" customHeight="1">
      <c r="A110" s="118">
        <v>75647</v>
      </c>
      <c r="B110" s="12" t="s">
        <v>36</v>
      </c>
      <c r="C110" s="95">
        <f>C111</f>
        <v>60000</v>
      </c>
      <c r="D110" s="98">
        <f>D111</f>
        <v>55227.85</v>
      </c>
      <c r="E110" s="275">
        <f t="shared" si="1"/>
        <v>92.04641666666666</v>
      </c>
    </row>
    <row r="111" spans="1:5" ht="12.75" customHeight="1">
      <c r="A111" s="118"/>
      <c r="B111" s="12" t="s">
        <v>70</v>
      </c>
      <c r="C111" s="95">
        <f>C112+C113</f>
        <v>60000</v>
      </c>
      <c r="D111" s="98">
        <f>D112+D113</f>
        <v>55227.85</v>
      </c>
      <c r="E111" s="275">
        <f t="shared" si="1"/>
        <v>92.04641666666666</v>
      </c>
    </row>
    <row r="112" spans="1:5" ht="12.75" customHeight="1">
      <c r="A112" s="118"/>
      <c r="B112" s="12" t="s">
        <v>75</v>
      </c>
      <c r="C112" s="95">
        <f>'Fk-wyd'!F207</f>
        <v>50610</v>
      </c>
      <c r="D112" s="95">
        <f>'Fk-wyd'!G207</f>
        <v>49682.22</v>
      </c>
      <c r="E112" s="275">
        <f t="shared" si="1"/>
        <v>98.16680497925311</v>
      </c>
    </row>
    <row r="113" spans="1:5" ht="12.75" customHeight="1">
      <c r="A113" s="235"/>
      <c r="B113" s="40" t="s">
        <v>76</v>
      </c>
      <c r="C113" s="96">
        <f>'Fk-wyd'!F208</f>
        <v>9390</v>
      </c>
      <c r="D113" s="96">
        <f>'Fk-wyd'!G208</f>
        <v>5545.63</v>
      </c>
      <c r="E113" s="276">
        <f t="shared" si="1"/>
        <v>59.058892438764644</v>
      </c>
    </row>
    <row r="114" spans="1:5" s="38" customFormat="1" ht="12.75" customHeight="1">
      <c r="A114" s="236">
        <v>757</v>
      </c>
      <c r="B114" s="49" t="s">
        <v>39</v>
      </c>
      <c r="C114" s="103">
        <f>C115</f>
        <v>138212.01</v>
      </c>
      <c r="D114" s="173">
        <f>D115</f>
        <v>120774.27</v>
      </c>
      <c r="E114" s="274">
        <f t="shared" si="1"/>
        <v>87.38333955204037</v>
      </c>
    </row>
    <row r="115" spans="1:5" ht="12.75" customHeight="1">
      <c r="A115" s="237">
        <v>75702</v>
      </c>
      <c r="B115" s="50" t="s">
        <v>85</v>
      </c>
      <c r="C115" s="95">
        <f>C116</f>
        <v>138212.01</v>
      </c>
      <c r="D115" s="170">
        <f>D116</f>
        <v>120774.27</v>
      </c>
      <c r="E115" s="275">
        <f t="shared" si="1"/>
        <v>87.38333955204037</v>
      </c>
    </row>
    <row r="116" spans="1:5" ht="12.75" customHeight="1">
      <c r="A116" s="242"/>
      <c r="B116" s="56" t="s">
        <v>63</v>
      </c>
      <c r="C116" s="102">
        <f>'Fk-wyd'!D214</f>
        <v>138212.01</v>
      </c>
      <c r="D116" s="102">
        <f>'Fk-wyd'!E214</f>
        <v>120774.27</v>
      </c>
      <c r="E116" s="276">
        <f t="shared" si="1"/>
        <v>87.38333955204037</v>
      </c>
    </row>
    <row r="117" spans="1:5" s="38" customFormat="1" ht="12.75" customHeight="1">
      <c r="A117" s="243">
        <v>758</v>
      </c>
      <c r="B117" s="55" t="s">
        <v>8</v>
      </c>
      <c r="C117" s="94">
        <f>C118</f>
        <v>40007</v>
      </c>
      <c r="D117" s="166">
        <f>D118</f>
        <v>0</v>
      </c>
      <c r="E117" s="283">
        <f t="shared" si="1"/>
        <v>0</v>
      </c>
    </row>
    <row r="118" spans="1:5" ht="12.75" customHeight="1">
      <c r="A118" s="237">
        <v>75818</v>
      </c>
      <c r="B118" s="50" t="s">
        <v>40</v>
      </c>
      <c r="C118" s="95">
        <f>C119</f>
        <v>40007</v>
      </c>
      <c r="D118" s="170">
        <f>D119</f>
        <v>0</v>
      </c>
      <c r="E118" s="275">
        <f t="shared" si="1"/>
        <v>0</v>
      </c>
    </row>
    <row r="119" spans="1:5" ht="12.75" customHeight="1">
      <c r="A119" s="237"/>
      <c r="B119" s="50" t="s">
        <v>41</v>
      </c>
      <c r="C119" s="104">
        <f>'Fk-wyd'!D216</f>
        <v>40007</v>
      </c>
      <c r="D119" s="104">
        <f>'Fk-wyd'!E216</f>
        <v>0</v>
      </c>
      <c r="E119" s="275">
        <f t="shared" si="1"/>
        <v>0</v>
      </c>
    </row>
    <row r="120" spans="1:5" s="38" customFormat="1" ht="12.75" customHeight="1">
      <c r="A120" s="117">
        <v>801</v>
      </c>
      <c r="B120" s="11" t="s">
        <v>9</v>
      </c>
      <c r="C120" s="158">
        <f>C121+C130+C133+C137+C149+C141+C126+C145</f>
        <v>20586926.950000003</v>
      </c>
      <c r="D120" s="94">
        <f>D121+D130+D133+D137+D149+D141+D126+D145</f>
        <v>19740411.25</v>
      </c>
      <c r="E120" s="279">
        <f t="shared" si="1"/>
        <v>95.8880910101058</v>
      </c>
    </row>
    <row r="121" spans="1:5" ht="12.75" customHeight="1">
      <c r="A121" s="118">
        <v>80101</v>
      </c>
      <c r="B121" s="12" t="s">
        <v>42</v>
      </c>
      <c r="C121" s="155">
        <f>C122+C125</f>
        <v>10155455.22</v>
      </c>
      <c r="D121" s="95">
        <f>D122+D125</f>
        <v>9832366.079999998</v>
      </c>
      <c r="E121" s="280">
        <f t="shared" si="1"/>
        <v>96.8185656575619</v>
      </c>
    </row>
    <row r="122" spans="1:5" ht="12.75" customHeight="1">
      <c r="A122" s="118"/>
      <c r="B122" s="12" t="s">
        <v>70</v>
      </c>
      <c r="C122" s="155">
        <f>C123+C124</f>
        <v>9483644.47</v>
      </c>
      <c r="D122" s="95">
        <f>D123+D124</f>
        <v>9185716.829999998</v>
      </c>
      <c r="E122" s="280">
        <f t="shared" si="1"/>
        <v>96.85851108250158</v>
      </c>
    </row>
    <row r="123" spans="1:5" ht="12.75" customHeight="1">
      <c r="A123" s="118"/>
      <c r="B123" s="12" t="s">
        <v>75</v>
      </c>
      <c r="C123" s="156">
        <f>'Fk-wyd'!F221</f>
        <v>7137603.44</v>
      </c>
      <c r="D123" s="104">
        <f>'Fk-wyd'!G221</f>
        <v>6974455.819999999</v>
      </c>
      <c r="E123" s="280">
        <f t="shared" si="1"/>
        <v>97.7142521103694</v>
      </c>
    </row>
    <row r="124" spans="1:5" ht="12.75" customHeight="1">
      <c r="A124" s="118"/>
      <c r="B124" s="12" t="s">
        <v>76</v>
      </c>
      <c r="C124" s="156">
        <f>'Fk-wyd'!F222</f>
        <v>2346041.03</v>
      </c>
      <c r="D124" s="104">
        <f>'Fk-wyd'!G222</f>
        <v>2211261.01</v>
      </c>
      <c r="E124" s="280">
        <f t="shared" si="1"/>
        <v>94.25500158452044</v>
      </c>
    </row>
    <row r="125" spans="1:5" ht="12.75" customHeight="1">
      <c r="A125" s="368"/>
      <c r="B125" s="152" t="s">
        <v>56</v>
      </c>
      <c r="C125" s="172">
        <f>'Fk-wyd'!F223</f>
        <v>671810.75</v>
      </c>
      <c r="D125" s="102">
        <f>'Fk-wyd'!G223</f>
        <v>646649.2500000001</v>
      </c>
      <c r="E125" s="282">
        <f t="shared" si="1"/>
        <v>96.25467440049152</v>
      </c>
    </row>
    <row r="126" spans="1:5" ht="12.75" customHeight="1">
      <c r="A126" s="248">
        <v>80103</v>
      </c>
      <c r="B126" s="42" t="s">
        <v>167</v>
      </c>
      <c r="C126" s="369">
        <f>C128+C129</f>
        <v>588892.12</v>
      </c>
      <c r="D126" s="370">
        <f>D128+D129</f>
        <v>559799.43</v>
      </c>
      <c r="E126" s="281">
        <f t="shared" si="1"/>
        <v>95.05975899286953</v>
      </c>
    </row>
    <row r="127" spans="1:5" ht="12.75" customHeight="1">
      <c r="A127" s="118"/>
      <c r="B127" s="12" t="s">
        <v>70</v>
      </c>
      <c r="C127" s="156">
        <f>C128+C129</f>
        <v>588892.12</v>
      </c>
      <c r="D127" s="104">
        <f>D128+D129</f>
        <v>559799.43</v>
      </c>
      <c r="E127" s="280">
        <f t="shared" si="1"/>
        <v>95.05975899286953</v>
      </c>
    </row>
    <row r="128" spans="1:5" ht="12.75" customHeight="1">
      <c r="A128" s="118"/>
      <c r="B128" s="12" t="s">
        <v>75</v>
      </c>
      <c r="C128" s="156">
        <f>'Fk-wyd'!F267</f>
        <v>463100</v>
      </c>
      <c r="D128" s="104">
        <f>'Fk-wyd'!G267</f>
        <v>446575.41000000003</v>
      </c>
      <c r="E128" s="280">
        <f t="shared" si="1"/>
        <v>96.43174476355</v>
      </c>
    </row>
    <row r="129" spans="1:5" ht="12.75" customHeight="1">
      <c r="A129" s="118"/>
      <c r="B129" s="12" t="s">
        <v>76</v>
      </c>
      <c r="C129" s="156">
        <f>'Fk-wyd'!F268</f>
        <v>125792.12</v>
      </c>
      <c r="D129" s="104">
        <f>'Fk-wyd'!G268</f>
        <v>113224.02</v>
      </c>
      <c r="E129" s="280">
        <f t="shared" si="1"/>
        <v>90.00883362169269</v>
      </c>
    </row>
    <row r="130" spans="1:5" ht="12.75" customHeight="1">
      <c r="A130" s="118">
        <v>80104</v>
      </c>
      <c r="B130" s="12" t="s">
        <v>164</v>
      </c>
      <c r="C130" s="155">
        <f>C131+C132</f>
        <v>2749107.34</v>
      </c>
      <c r="D130" s="95">
        <f>D131+D132</f>
        <v>2338634.46</v>
      </c>
      <c r="E130" s="280">
        <f t="shared" si="1"/>
        <v>85.06886675439891</v>
      </c>
    </row>
    <row r="131" spans="1:5" ht="12.75" customHeight="1">
      <c r="A131" s="118"/>
      <c r="B131" s="12" t="s">
        <v>296</v>
      </c>
      <c r="C131" s="155">
        <f>'Fk-wyd'!D285</f>
        <v>1322107.34</v>
      </c>
      <c r="D131" s="95">
        <f>'Fk-wyd'!E285</f>
        <v>1241731.14</v>
      </c>
      <c r="E131" s="280">
        <f t="shared" si="1"/>
        <v>93.92059951803911</v>
      </c>
    </row>
    <row r="132" spans="1:5" ht="12.75" customHeight="1">
      <c r="A132" s="118"/>
      <c r="B132" s="83" t="s">
        <v>56</v>
      </c>
      <c r="C132" s="155">
        <f>'Fk-wyd'!F286</f>
        <v>1427000</v>
      </c>
      <c r="D132" s="95">
        <f>'Fk-wyd'!G286</f>
        <v>1096903.32</v>
      </c>
      <c r="E132" s="280">
        <f t="shared" si="1"/>
        <v>76.86778696566223</v>
      </c>
    </row>
    <row r="133" spans="1:5" ht="12.75" customHeight="1">
      <c r="A133" s="118">
        <v>80110</v>
      </c>
      <c r="B133" s="12" t="s">
        <v>43</v>
      </c>
      <c r="C133" s="155">
        <f>C134</f>
        <v>3682149.01</v>
      </c>
      <c r="D133" s="95">
        <f>D134</f>
        <v>3645968.460000001</v>
      </c>
      <c r="E133" s="280">
        <f t="shared" si="1"/>
        <v>99.01740668555945</v>
      </c>
    </row>
    <row r="134" spans="1:5" ht="12.75" customHeight="1">
      <c r="A134" s="118"/>
      <c r="B134" s="12" t="s">
        <v>23</v>
      </c>
      <c r="C134" s="155">
        <f>C135+C136</f>
        <v>3682149.01</v>
      </c>
      <c r="D134" s="95">
        <f>D135+D136</f>
        <v>3645968.460000001</v>
      </c>
      <c r="E134" s="280">
        <f t="shared" si="1"/>
        <v>99.01740668555945</v>
      </c>
    </row>
    <row r="135" spans="1:5" ht="12.75" customHeight="1">
      <c r="A135" s="118"/>
      <c r="B135" s="12" t="s">
        <v>75</v>
      </c>
      <c r="C135" s="156">
        <f>'Fk-wyd'!F290</f>
        <v>3167694</v>
      </c>
      <c r="D135" s="104">
        <f>'Fk-wyd'!G290</f>
        <v>3139941.4700000007</v>
      </c>
      <c r="E135" s="280">
        <f t="shared" si="1"/>
        <v>99.12388854479002</v>
      </c>
    </row>
    <row r="136" spans="1:5" ht="12.75" customHeight="1">
      <c r="A136" s="118"/>
      <c r="B136" s="12" t="s">
        <v>76</v>
      </c>
      <c r="C136" s="156">
        <f>'Fk-wyd'!F291</f>
        <v>514455.01</v>
      </c>
      <c r="D136" s="104">
        <f>'Fk-wyd'!G291</f>
        <v>506026.99000000005</v>
      </c>
      <c r="E136" s="280">
        <f t="shared" si="1"/>
        <v>98.36175761997147</v>
      </c>
    </row>
    <row r="137" spans="1:5" ht="12.75" customHeight="1">
      <c r="A137" s="118">
        <v>80113</v>
      </c>
      <c r="B137" s="12" t="s">
        <v>44</v>
      </c>
      <c r="C137" s="155">
        <f>C138</f>
        <v>432029</v>
      </c>
      <c r="D137" s="95">
        <f>D138</f>
        <v>417121.13000000006</v>
      </c>
      <c r="E137" s="280">
        <f t="shared" si="1"/>
        <v>96.54933580847583</v>
      </c>
    </row>
    <row r="138" spans="1:5" ht="12.75" customHeight="1">
      <c r="A138" s="118"/>
      <c r="B138" s="12" t="s">
        <v>23</v>
      </c>
      <c r="C138" s="155">
        <f>C139+C140</f>
        <v>432029</v>
      </c>
      <c r="D138" s="95">
        <f>D139+D140</f>
        <v>417121.13000000006</v>
      </c>
      <c r="E138" s="280">
        <f t="shared" si="1"/>
        <v>96.54933580847583</v>
      </c>
    </row>
    <row r="139" spans="1:5" ht="12.75" customHeight="1">
      <c r="A139" s="118"/>
      <c r="B139" s="12" t="s">
        <v>75</v>
      </c>
      <c r="C139" s="156">
        <f>'Fk-wyd'!F311</f>
        <v>50660</v>
      </c>
      <c r="D139" s="104">
        <f>'Fk-wyd'!G311</f>
        <v>47889.15000000001</v>
      </c>
      <c r="E139" s="280">
        <f t="shared" si="1"/>
        <v>94.5304974338729</v>
      </c>
    </row>
    <row r="140" spans="1:5" ht="12.75" customHeight="1">
      <c r="A140" s="118"/>
      <c r="B140" s="12" t="s">
        <v>76</v>
      </c>
      <c r="C140" s="156">
        <f>'Fk-wyd'!F312</f>
        <v>381369</v>
      </c>
      <c r="D140" s="104">
        <f>'Fk-wyd'!G312</f>
        <v>369231.98000000004</v>
      </c>
      <c r="E140" s="280">
        <f t="shared" si="1"/>
        <v>96.81751269767601</v>
      </c>
    </row>
    <row r="141" spans="1:5" ht="12.75" customHeight="1">
      <c r="A141" s="244">
        <v>80146</v>
      </c>
      <c r="B141" s="83" t="s">
        <v>87</v>
      </c>
      <c r="C141" s="157">
        <f>C142</f>
        <v>75760</v>
      </c>
      <c r="D141" s="142">
        <f>D142</f>
        <v>57598.15</v>
      </c>
      <c r="E141" s="280">
        <f t="shared" si="1"/>
        <v>76.02712513199577</v>
      </c>
    </row>
    <row r="142" spans="1:5" ht="12.75" customHeight="1">
      <c r="A142" s="244"/>
      <c r="B142" s="83" t="str">
        <f>B150</f>
        <v>Wydatki bieżące</v>
      </c>
      <c r="C142" s="157">
        <f>C143+C144</f>
        <v>75760</v>
      </c>
      <c r="D142" s="142">
        <f>D143+D144</f>
        <v>57598.15</v>
      </c>
      <c r="E142" s="280">
        <f t="shared" si="1"/>
        <v>76.02712513199577</v>
      </c>
    </row>
    <row r="143" spans="1:5" ht="12.75" customHeight="1">
      <c r="A143" s="244"/>
      <c r="B143" s="83" t="s">
        <v>75</v>
      </c>
      <c r="C143" s="157">
        <f>'Fk-wyd'!F327</f>
        <v>18327</v>
      </c>
      <c r="D143" s="142">
        <f>'Fk-wyd'!G327</f>
        <v>14693.539999999999</v>
      </c>
      <c r="E143" s="280">
        <f t="shared" si="1"/>
        <v>80.17427838707917</v>
      </c>
    </row>
    <row r="144" spans="1:5" ht="12.75" customHeight="1">
      <c r="A144" s="244"/>
      <c r="B144" s="12" t="s">
        <v>76</v>
      </c>
      <c r="C144" s="157">
        <f>'Fk-wyd'!F328</f>
        <v>57433</v>
      </c>
      <c r="D144" s="142">
        <f>'Fk-wyd'!G328</f>
        <v>42904.61</v>
      </c>
      <c r="E144" s="280">
        <f t="shared" si="1"/>
        <v>74.70375916285062</v>
      </c>
    </row>
    <row r="145" spans="1:5" ht="12.75" customHeight="1">
      <c r="A145" s="244">
        <v>80148</v>
      </c>
      <c r="B145" s="12" t="s">
        <v>450</v>
      </c>
      <c r="C145" s="157">
        <f>C146</f>
        <v>516234</v>
      </c>
      <c r="D145" s="142">
        <f>D146</f>
        <v>506832.91000000003</v>
      </c>
      <c r="E145" s="280">
        <f>D145/C145%</f>
        <v>98.17890917684616</v>
      </c>
    </row>
    <row r="146" spans="1:5" ht="12.75" customHeight="1">
      <c r="A146" s="244"/>
      <c r="B146" s="83" t="s">
        <v>23</v>
      </c>
      <c r="C146" s="157">
        <f>C147+C148</f>
        <v>516234</v>
      </c>
      <c r="D146" s="142">
        <f>D147+D148</f>
        <v>506832.91000000003</v>
      </c>
      <c r="E146" s="280">
        <f>D146/C146%</f>
        <v>98.17890917684616</v>
      </c>
    </row>
    <row r="147" spans="1:5" ht="12.75" customHeight="1">
      <c r="A147" s="244"/>
      <c r="B147" s="83" t="s">
        <v>75</v>
      </c>
      <c r="C147" s="157">
        <f>'Fk-wyd'!F346</f>
        <v>413352</v>
      </c>
      <c r="D147" s="142">
        <f>'Fk-wyd'!G346</f>
        <v>409982.72000000003</v>
      </c>
      <c r="E147" s="280">
        <f>D147/C147%</f>
        <v>99.18488842439373</v>
      </c>
    </row>
    <row r="148" spans="1:5" ht="12.75" customHeight="1">
      <c r="A148" s="244"/>
      <c r="B148" s="12" t="s">
        <v>76</v>
      </c>
      <c r="C148" s="157">
        <f>'Fk-wyd'!F347</f>
        <v>102882</v>
      </c>
      <c r="D148" s="142">
        <f>'Fk-wyd'!G347</f>
        <v>96850.19</v>
      </c>
      <c r="E148" s="280">
        <f>D148/C148%</f>
        <v>94.13715713147101</v>
      </c>
    </row>
    <row r="149" spans="1:5" ht="12.75" customHeight="1">
      <c r="A149" s="118">
        <v>80195</v>
      </c>
      <c r="B149" s="12" t="s">
        <v>78</v>
      </c>
      <c r="C149" s="155">
        <f>C150+C154</f>
        <v>2387300.2600000002</v>
      </c>
      <c r="D149" s="95">
        <f>D150+D154</f>
        <v>2382090.6300000004</v>
      </c>
      <c r="E149" s="280">
        <f t="shared" si="1"/>
        <v>99.781777345427</v>
      </c>
    </row>
    <row r="150" spans="1:5" ht="12.75" customHeight="1">
      <c r="A150" s="118"/>
      <c r="B150" s="12" t="s">
        <v>23</v>
      </c>
      <c r="C150" s="155">
        <f>C152+C153+C151</f>
        <v>2335800.2600000002</v>
      </c>
      <c r="D150" s="95">
        <f>D152+D153+D151</f>
        <v>2330595.41</v>
      </c>
      <c r="E150" s="280">
        <f t="shared" si="1"/>
        <v>99.77717058735149</v>
      </c>
    </row>
    <row r="151" spans="1:5" ht="12.75" customHeight="1">
      <c r="A151" s="118"/>
      <c r="B151" s="12" t="s">
        <v>296</v>
      </c>
      <c r="C151" s="155">
        <f>'Fk-wyd'!F359</f>
        <v>43558.42</v>
      </c>
      <c r="D151" s="95">
        <f>'Fk-wyd'!G359</f>
        <v>43488.37</v>
      </c>
      <c r="E151" s="280">
        <f t="shared" si="1"/>
        <v>99.83918149464559</v>
      </c>
    </row>
    <row r="152" spans="1:5" ht="12.75" customHeight="1">
      <c r="A152" s="118"/>
      <c r="B152" s="12" t="s">
        <v>74</v>
      </c>
      <c r="C152" s="155">
        <f>'Fk-wyd'!F362</f>
        <v>1147800.7700000003</v>
      </c>
      <c r="D152" s="95">
        <f>'Fk-wyd'!G362</f>
        <v>1146036.1300000004</v>
      </c>
      <c r="E152" s="280">
        <f t="shared" si="1"/>
        <v>99.84625903326412</v>
      </c>
    </row>
    <row r="153" spans="1:5" ht="12.75" customHeight="1">
      <c r="A153" s="118"/>
      <c r="B153" s="12" t="s">
        <v>76</v>
      </c>
      <c r="C153" s="155">
        <f>'Fk-wyd'!F363</f>
        <v>1144441.07</v>
      </c>
      <c r="D153" s="95">
        <f>'Fk-wyd'!G363</f>
        <v>1141070.91</v>
      </c>
      <c r="E153" s="280">
        <f t="shared" si="1"/>
        <v>99.70551913171029</v>
      </c>
    </row>
    <row r="154" spans="1:5" ht="12.75" customHeight="1">
      <c r="A154" s="235"/>
      <c r="B154" s="40" t="s">
        <v>297</v>
      </c>
      <c r="C154" s="159">
        <f>'Fk-wyd'!F364</f>
        <v>51500</v>
      </c>
      <c r="D154" s="96">
        <f>'Fk-wyd'!G364</f>
        <v>51495.22</v>
      </c>
      <c r="E154" s="282">
        <f t="shared" si="1"/>
        <v>99.99071844660195</v>
      </c>
    </row>
    <row r="155" spans="1:5" s="38" customFormat="1" ht="12.75" customHeight="1">
      <c r="A155" s="236">
        <v>851</v>
      </c>
      <c r="B155" s="49" t="s">
        <v>45</v>
      </c>
      <c r="C155" s="103">
        <f>C156+C158</f>
        <v>220794</v>
      </c>
      <c r="D155" s="103">
        <f>D156+D158</f>
        <v>206688.24</v>
      </c>
      <c r="E155" s="277">
        <f aca="true" t="shared" si="2" ref="E155:E210">D155/C155%</f>
        <v>93.61134813446017</v>
      </c>
    </row>
    <row r="156" spans="1:5" s="38" customFormat="1" ht="12.75" customHeight="1">
      <c r="A156" s="237">
        <v>85153</v>
      </c>
      <c r="B156" s="50" t="s">
        <v>216</v>
      </c>
      <c r="C156" s="95">
        <f>C157</f>
        <v>10000</v>
      </c>
      <c r="D156" s="170">
        <f>D157</f>
        <v>8730</v>
      </c>
      <c r="E156" s="275">
        <f t="shared" si="2"/>
        <v>87.3</v>
      </c>
    </row>
    <row r="157" spans="1:5" s="38" customFormat="1" ht="12.75" customHeight="1">
      <c r="A157" s="237"/>
      <c r="B157" s="50" t="s">
        <v>23</v>
      </c>
      <c r="C157" s="95">
        <f>'Fk-wyd'!F415</f>
        <v>10000</v>
      </c>
      <c r="D157" s="95">
        <f>'Fk-wyd'!G415</f>
        <v>8730</v>
      </c>
      <c r="E157" s="275">
        <f t="shared" si="2"/>
        <v>87.3</v>
      </c>
    </row>
    <row r="158" spans="1:5" ht="12.75" customHeight="1">
      <c r="A158" s="237">
        <v>85154</v>
      </c>
      <c r="B158" s="50" t="s">
        <v>46</v>
      </c>
      <c r="C158" s="95">
        <f>C159</f>
        <v>210794</v>
      </c>
      <c r="D158" s="170">
        <f>D159</f>
        <v>197958.24</v>
      </c>
      <c r="E158" s="275">
        <f t="shared" si="2"/>
        <v>93.91075647314439</v>
      </c>
    </row>
    <row r="159" spans="1:5" ht="12.75" customHeight="1">
      <c r="A159" s="237"/>
      <c r="B159" s="50" t="s">
        <v>64</v>
      </c>
      <c r="C159" s="95">
        <f>C160+C161+C162</f>
        <v>210794</v>
      </c>
      <c r="D159" s="170">
        <f>D160+D161+D162</f>
        <v>197958.24</v>
      </c>
      <c r="E159" s="275">
        <f t="shared" si="2"/>
        <v>93.91075647314439</v>
      </c>
    </row>
    <row r="160" spans="1:5" ht="12.75" customHeight="1">
      <c r="A160" s="237"/>
      <c r="B160" s="50" t="s">
        <v>229</v>
      </c>
      <c r="C160" s="104">
        <f>'Fk-wyd'!D418</f>
        <v>17500</v>
      </c>
      <c r="D160" s="104">
        <f>'Fk-wyd'!E418</f>
        <v>16500</v>
      </c>
      <c r="E160" s="275">
        <f t="shared" si="2"/>
        <v>94.28571428571429</v>
      </c>
    </row>
    <row r="161" spans="1:5" ht="12.75" customHeight="1">
      <c r="A161" s="237"/>
      <c r="B161" s="50" t="s">
        <v>79</v>
      </c>
      <c r="C161" s="104">
        <f>'Fk-wyd'!F419</f>
        <v>25000</v>
      </c>
      <c r="D161" s="104">
        <f>'Fk-wyd'!G419</f>
        <v>23454.58</v>
      </c>
      <c r="E161" s="275">
        <f t="shared" si="2"/>
        <v>93.81832</v>
      </c>
    </row>
    <row r="162" spans="1:5" ht="12.75" customHeight="1">
      <c r="A162" s="237"/>
      <c r="B162" s="50" t="s">
        <v>72</v>
      </c>
      <c r="C162" s="104">
        <f>'Fk-wyd'!F420</f>
        <v>168294</v>
      </c>
      <c r="D162" s="104">
        <f>'Fk-wyd'!G420</f>
        <v>158003.66</v>
      </c>
      <c r="E162" s="275">
        <f t="shared" si="2"/>
        <v>93.88549799755191</v>
      </c>
    </row>
    <row r="163" spans="1:5" s="38" customFormat="1" ht="12.75" customHeight="1">
      <c r="A163" s="117">
        <v>852</v>
      </c>
      <c r="B163" s="11" t="s">
        <v>98</v>
      </c>
      <c r="C163" s="177">
        <f>C166+C174+C176+C180+C182+C186+C190+C170+C164</f>
        <v>9383410.98</v>
      </c>
      <c r="D163" s="93">
        <f>D166+D174+D176+D180+D182+D186+D190+D170+D164</f>
        <v>9323602.33</v>
      </c>
      <c r="E163" s="279">
        <f t="shared" si="2"/>
        <v>99.36261291200526</v>
      </c>
    </row>
    <row r="164" spans="1:5" s="38" customFormat="1" ht="12.75" customHeight="1">
      <c r="A164" s="118">
        <v>85202</v>
      </c>
      <c r="B164" s="12" t="s">
        <v>166</v>
      </c>
      <c r="C164" s="155">
        <f>C165</f>
        <v>198432</v>
      </c>
      <c r="D164" s="95">
        <f>D165</f>
        <v>189276.19</v>
      </c>
      <c r="E164" s="280">
        <f t="shared" si="2"/>
        <v>95.38592061764231</v>
      </c>
    </row>
    <row r="165" spans="1:5" s="38" customFormat="1" ht="12.75" customHeight="1">
      <c r="A165" s="118"/>
      <c r="B165" s="12" t="s">
        <v>23</v>
      </c>
      <c r="C165" s="155">
        <f>'Fk-wyd'!D431</f>
        <v>198432</v>
      </c>
      <c r="D165" s="95">
        <f>'Fk-wyd'!E431</f>
        <v>189276.19</v>
      </c>
      <c r="E165" s="280">
        <f t="shared" si="2"/>
        <v>95.38592061764231</v>
      </c>
    </row>
    <row r="166" spans="1:5" ht="12.75" customHeight="1">
      <c r="A166" s="244">
        <v>85203</v>
      </c>
      <c r="B166" s="83" t="s">
        <v>47</v>
      </c>
      <c r="C166" s="260">
        <f>C167</f>
        <v>446899.2</v>
      </c>
      <c r="D166" s="115">
        <f>D167</f>
        <v>446093.70999999996</v>
      </c>
      <c r="E166" s="280">
        <f t="shared" si="2"/>
        <v>99.81976025018616</v>
      </c>
    </row>
    <row r="167" spans="1:5" ht="12.75" customHeight="1">
      <c r="A167" s="244"/>
      <c r="B167" s="83" t="s">
        <v>23</v>
      </c>
      <c r="C167" s="260">
        <f>C168+C169</f>
        <v>446899.2</v>
      </c>
      <c r="D167" s="115">
        <f>D168+D169</f>
        <v>446093.70999999996</v>
      </c>
      <c r="E167" s="280">
        <f t="shared" si="2"/>
        <v>99.81976025018616</v>
      </c>
    </row>
    <row r="168" spans="1:5" ht="12.75" customHeight="1">
      <c r="A168" s="244"/>
      <c r="B168" s="83" t="s">
        <v>74</v>
      </c>
      <c r="C168" s="260">
        <f>'Fk-wyd'!F434</f>
        <v>306854.2</v>
      </c>
      <c r="D168" s="115">
        <f>'Fk-wyd'!G434</f>
        <v>306702.22</v>
      </c>
      <c r="E168" s="280">
        <f t="shared" si="2"/>
        <v>99.95047159204599</v>
      </c>
    </row>
    <row r="169" spans="1:5" ht="12.75" customHeight="1">
      <c r="A169" s="244"/>
      <c r="B169" s="83" t="s">
        <v>76</v>
      </c>
      <c r="C169" s="260">
        <f>'Fk-wyd'!F435</f>
        <v>140045</v>
      </c>
      <c r="D169" s="115">
        <f>'Fk-wyd'!G435</f>
        <v>139391.49</v>
      </c>
      <c r="E169" s="280">
        <f t="shared" si="2"/>
        <v>99.53335713520653</v>
      </c>
    </row>
    <row r="170" spans="1:5" ht="12.75" customHeight="1">
      <c r="A170" s="118">
        <v>85212</v>
      </c>
      <c r="B170" s="12" t="s">
        <v>155</v>
      </c>
      <c r="C170" s="372">
        <f>C171</f>
        <v>5084829.09</v>
      </c>
      <c r="D170" s="259">
        <f>D171</f>
        <v>5083743.89</v>
      </c>
      <c r="E170" s="280">
        <f t="shared" si="2"/>
        <v>99.97865808307826</v>
      </c>
    </row>
    <row r="171" spans="1:5" ht="12.75" customHeight="1">
      <c r="A171" s="118"/>
      <c r="B171" s="12" t="s">
        <v>23</v>
      </c>
      <c r="C171" s="372">
        <f>C172+C173</f>
        <v>5084829.09</v>
      </c>
      <c r="D171" s="259">
        <f>D172+D173</f>
        <v>5083743.89</v>
      </c>
      <c r="E171" s="280">
        <f t="shared" si="2"/>
        <v>99.97865808307826</v>
      </c>
    </row>
    <row r="172" spans="1:5" ht="12.75" customHeight="1">
      <c r="A172" s="118"/>
      <c r="B172" s="12" t="s">
        <v>71</v>
      </c>
      <c r="C172" s="372">
        <f>'Fk-wyd'!F464</f>
        <v>149412</v>
      </c>
      <c r="D172" s="259">
        <f>'Fk-wyd'!G464</f>
        <v>149402.38999999998</v>
      </c>
      <c r="E172" s="280">
        <f t="shared" si="2"/>
        <v>99.99356812036517</v>
      </c>
    </row>
    <row r="173" spans="1:5" ht="12.75" customHeight="1">
      <c r="A173" s="118"/>
      <c r="B173" s="12" t="s">
        <v>72</v>
      </c>
      <c r="C173" s="372">
        <f>'Fk-wyd'!F463+'Fk-wyd'!F462</f>
        <v>4935417.09</v>
      </c>
      <c r="D173" s="259">
        <f>'Fk-wyd'!G463+'Fk-wyd'!G462</f>
        <v>4934341.5</v>
      </c>
      <c r="E173" s="280">
        <f t="shared" si="2"/>
        <v>99.97820670511963</v>
      </c>
    </row>
    <row r="174" spans="1:5" ht="12.75" customHeight="1">
      <c r="A174" s="118">
        <v>85213</v>
      </c>
      <c r="B174" s="12" t="s">
        <v>48</v>
      </c>
      <c r="C174" s="260">
        <f>C175</f>
        <v>26421</v>
      </c>
      <c r="D174" s="115">
        <f>D175</f>
        <v>26411.33</v>
      </c>
      <c r="E174" s="280">
        <f t="shared" si="2"/>
        <v>99.96340032549867</v>
      </c>
    </row>
    <row r="175" spans="1:5" ht="12.75" customHeight="1">
      <c r="A175" s="118"/>
      <c r="B175" s="12" t="s">
        <v>49</v>
      </c>
      <c r="C175" s="157">
        <f>'Fk-wyd'!F484</f>
        <v>26421</v>
      </c>
      <c r="D175" s="142">
        <f>'Fk-wyd'!G484</f>
        <v>26411.33</v>
      </c>
      <c r="E175" s="280">
        <f t="shared" si="2"/>
        <v>99.96340032549867</v>
      </c>
    </row>
    <row r="176" spans="1:5" ht="12.75" customHeight="1">
      <c r="A176" s="118">
        <v>85214</v>
      </c>
      <c r="B176" s="12" t="s">
        <v>65</v>
      </c>
      <c r="C176" s="260">
        <f>C177</f>
        <v>1008760</v>
      </c>
      <c r="D176" s="115">
        <f>D177</f>
        <v>1000853.96</v>
      </c>
      <c r="E176" s="280">
        <f t="shared" si="2"/>
        <v>99.21626154883222</v>
      </c>
    </row>
    <row r="177" spans="1:5" ht="12.75" customHeight="1">
      <c r="A177" s="118"/>
      <c r="B177" s="12" t="s">
        <v>23</v>
      </c>
      <c r="C177" s="260">
        <f>'Fk-wyd'!F487</f>
        <v>1008760</v>
      </c>
      <c r="D177" s="115">
        <f>'Fk-wyd'!G487</f>
        <v>1000853.96</v>
      </c>
      <c r="E177" s="280">
        <f t="shared" si="2"/>
        <v>99.21626154883222</v>
      </c>
    </row>
    <row r="178" spans="1:5" ht="12.75" customHeight="1">
      <c r="A178" s="118"/>
      <c r="B178" s="12" t="s">
        <v>80</v>
      </c>
      <c r="C178" s="157">
        <f>C177-C179</f>
        <v>858163</v>
      </c>
      <c r="D178" s="142">
        <f>D177-D179</f>
        <v>850257.1599999999</v>
      </c>
      <c r="E178" s="280">
        <f t="shared" si="2"/>
        <v>99.07874844289488</v>
      </c>
    </row>
    <row r="179" spans="1:5" ht="12.75" customHeight="1">
      <c r="A179" s="118"/>
      <c r="B179" s="83" t="s">
        <v>81</v>
      </c>
      <c r="C179" s="157">
        <f>'Zad rządowe'!D34</f>
        <v>150597</v>
      </c>
      <c r="D179" s="142">
        <f>'Zad rządowe'!E34</f>
        <v>150596.8</v>
      </c>
      <c r="E179" s="280">
        <f t="shared" si="2"/>
        <v>99.99986719522964</v>
      </c>
    </row>
    <row r="180" spans="1:5" ht="12.75" customHeight="1">
      <c r="A180" s="118">
        <v>85215</v>
      </c>
      <c r="B180" s="12" t="s">
        <v>50</v>
      </c>
      <c r="C180" s="260">
        <f>C181</f>
        <v>829651.81</v>
      </c>
      <c r="D180" s="115">
        <f>D181</f>
        <v>827425.09</v>
      </c>
      <c r="E180" s="280">
        <f t="shared" si="2"/>
        <v>99.73160788982065</v>
      </c>
    </row>
    <row r="181" spans="1:5" ht="12.75" customHeight="1">
      <c r="A181" s="245"/>
      <c r="B181" s="12" t="s">
        <v>23</v>
      </c>
      <c r="C181" s="157">
        <f>'Fk-wyd'!D492</f>
        <v>829651.81</v>
      </c>
      <c r="D181" s="142">
        <f>'Fk-wyd'!E492</f>
        <v>827425.09</v>
      </c>
      <c r="E181" s="280">
        <f t="shared" si="2"/>
        <v>99.73160788982065</v>
      </c>
    </row>
    <row r="182" spans="1:5" ht="12.75" customHeight="1">
      <c r="A182" s="118">
        <v>85219</v>
      </c>
      <c r="B182" s="12" t="s">
        <v>51</v>
      </c>
      <c r="C182" s="260">
        <f>C183</f>
        <v>879150</v>
      </c>
      <c r="D182" s="115">
        <f>D183</f>
        <v>877265.2700000001</v>
      </c>
      <c r="E182" s="280">
        <f t="shared" si="2"/>
        <v>99.78561906386852</v>
      </c>
    </row>
    <row r="183" spans="1:5" ht="12.75" customHeight="1">
      <c r="A183" s="245"/>
      <c r="B183" s="12" t="s">
        <v>23</v>
      </c>
      <c r="C183" s="260">
        <f>C184+C185</f>
        <v>879150</v>
      </c>
      <c r="D183" s="115">
        <f>D184+D185</f>
        <v>877265.2700000001</v>
      </c>
      <c r="E183" s="280">
        <f t="shared" si="2"/>
        <v>99.78561906386852</v>
      </c>
    </row>
    <row r="184" spans="1:5" ht="12.75" customHeight="1">
      <c r="A184" s="118"/>
      <c r="B184" s="12" t="s">
        <v>71</v>
      </c>
      <c r="C184" s="157">
        <f>'Fk-wyd'!F496</f>
        <v>632036</v>
      </c>
      <c r="D184" s="142">
        <f>'Fk-wyd'!G496</f>
        <v>630636.7000000001</v>
      </c>
      <c r="E184" s="280">
        <f t="shared" si="2"/>
        <v>99.77860438329463</v>
      </c>
    </row>
    <row r="185" spans="1:5" ht="12.75" customHeight="1">
      <c r="A185" s="235"/>
      <c r="B185" s="40" t="s">
        <v>72</v>
      </c>
      <c r="C185" s="375">
        <f>'Fk-wyd'!F497</f>
        <v>247114</v>
      </c>
      <c r="D185" s="376">
        <f>'Fk-wyd'!G497</f>
        <v>246628.57000000004</v>
      </c>
      <c r="E185" s="282">
        <f t="shared" si="2"/>
        <v>99.80356030010442</v>
      </c>
    </row>
    <row r="186" spans="1:5" ht="12.75" customHeight="1">
      <c r="A186" s="248">
        <v>85228</v>
      </c>
      <c r="B186" s="42" t="s">
        <v>52</v>
      </c>
      <c r="C186" s="373">
        <f>C187</f>
        <v>247802</v>
      </c>
      <c r="D186" s="374">
        <f>D187</f>
        <v>213236.75</v>
      </c>
      <c r="E186" s="281">
        <f t="shared" si="2"/>
        <v>86.05126270167311</v>
      </c>
    </row>
    <row r="187" spans="1:7" ht="12.75" customHeight="1">
      <c r="A187" s="245"/>
      <c r="B187" s="12" t="s">
        <v>23</v>
      </c>
      <c r="C187" s="157">
        <f>'Fk-wyd'!F542</f>
        <v>247802</v>
      </c>
      <c r="D187" s="142">
        <f>'Fk-wyd'!G542</f>
        <v>213236.75</v>
      </c>
      <c r="E187" s="280">
        <f t="shared" si="2"/>
        <v>86.05126270167311</v>
      </c>
      <c r="G187" s="148"/>
    </row>
    <row r="188" spans="1:5" ht="12.75" customHeight="1">
      <c r="A188" s="118"/>
      <c r="B188" s="12" t="s">
        <v>82</v>
      </c>
      <c r="C188" s="157">
        <f>'Zad rządowe'!D37</f>
        <v>125236</v>
      </c>
      <c r="D188" s="142">
        <f>'Zad rządowe'!E37</f>
        <v>113735.28</v>
      </c>
      <c r="E188" s="280">
        <f t="shared" si="2"/>
        <v>90.81676195343192</v>
      </c>
    </row>
    <row r="189" spans="1:5" ht="12.75" customHeight="1">
      <c r="A189" s="118"/>
      <c r="B189" s="12" t="s">
        <v>80</v>
      </c>
      <c r="C189" s="157">
        <f>C187-C188</f>
        <v>122566</v>
      </c>
      <c r="D189" s="142">
        <f>D187-D188</f>
        <v>99501.47</v>
      </c>
      <c r="E189" s="280">
        <f t="shared" si="2"/>
        <v>81.18195094887652</v>
      </c>
    </row>
    <row r="190" spans="1:5" ht="12.75" customHeight="1">
      <c r="A190" s="118">
        <v>85295</v>
      </c>
      <c r="B190" s="12" t="s">
        <v>26</v>
      </c>
      <c r="C190" s="260">
        <f>C191</f>
        <v>661465.88</v>
      </c>
      <c r="D190" s="115">
        <f>D191</f>
        <v>659296.14</v>
      </c>
      <c r="E190" s="280">
        <f t="shared" si="2"/>
        <v>99.67198005738406</v>
      </c>
    </row>
    <row r="191" spans="1:5" ht="12.75" customHeight="1">
      <c r="A191" s="235"/>
      <c r="B191" s="152" t="s">
        <v>76</v>
      </c>
      <c r="C191" s="172">
        <f>'Fk-wyd'!F545</f>
        <v>661465.88</v>
      </c>
      <c r="D191" s="102">
        <f>'Fk-wyd'!G545</f>
        <v>659296.14</v>
      </c>
      <c r="E191" s="282">
        <f t="shared" si="2"/>
        <v>99.67198005738406</v>
      </c>
    </row>
    <row r="192" spans="1:5" ht="12.75" customHeight="1">
      <c r="A192" s="117">
        <v>853</v>
      </c>
      <c r="B192" s="6" t="s">
        <v>209</v>
      </c>
      <c r="C192" s="433">
        <f>C193</f>
        <v>6587.99</v>
      </c>
      <c r="D192" s="365">
        <f>D193</f>
        <v>6587.99</v>
      </c>
      <c r="E192" s="274">
        <f t="shared" si="2"/>
        <v>100.00000000000001</v>
      </c>
    </row>
    <row r="193" spans="1:5" ht="12.75" customHeight="1">
      <c r="A193" s="118">
        <v>85395</v>
      </c>
      <c r="B193" s="12" t="s">
        <v>26</v>
      </c>
      <c r="C193" s="156">
        <f>C194</f>
        <v>6587.99</v>
      </c>
      <c r="D193" s="104">
        <f>D194</f>
        <v>6587.99</v>
      </c>
      <c r="E193" s="275">
        <f t="shared" si="2"/>
        <v>100.00000000000001</v>
      </c>
    </row>
    <row r="194" spans="1:5" ht="12.75" customHeight="1">
      <c r="A194" s="235"/>
      <c r="B194" s="40" t="s">
        <v>23</v>
      </c>
      <c r="C194" s="172">
        <f>'Fk-wyd'!D553</f>
        <v>6587.99</v>
      </c>
      <c r="D194" s="102">
        <f>'Fk-wyd'!E553</f>
        <v>6587.99</v>
      </c>
      <c r="E194" s="276">
        <f t="shared" si="2"/>
        <v>100.00000000000001</v>
      </c>
    </row>
    <row r="195" spans="1:5" ht="12.75" customHeight="1">
      <c r="A195" s="241">
        <v>854</v>
      </c>
      <c r="B195" s="27" t="s">
        <v>53</v>
      </c>
      <c r="C195" s="371">
        <f>C196+C200+C202</f>
        <v>566188</v>
      </c>
      <c r="D195" s="367">
        <f>D196+D200+D202</f>
        <v>535264.58</v>
      </c>
      <c r="E195" s="277">
        <f t="shared" si="2"/>
        <v>94.53831236267811</v>
      </c>
    </row>
    <row r="196" spans="1:5" ht="12.75" customHeight="1">
      <c r="A196" s="118">
        <v>85401</v>
      </c>
      <c r="B196" s="12" t="s">
        <v>54</v>
      </c>
      <c r="C196" s="113">
        <f>C197</f>
        <v>241752</v>
      </c>
      <c r="D196" s="178">
        <f>D197</f>
        <v>235504.1</v>
      </c>
      <c r="E196" s="275">
        <f t="shared" si="2"/>
        <v>97.41557463847249</v>
      </c>
    </row>
    <row r="197" spans="1:5" ht="12.75" customHeight="1">
      <c r="A197" s="118"/>
      <c r="B197" s="12" t="s">
        <v>23</v>
      </c>
      <c r="C197" s="113">
        <f>C198+C199</f>
        <v>241752</v>
      </c>
      <c r="D197" s="178">
        <f>D198+D199</f>
        <v>235504.1</v>
      </c>
      <c r="E197" s="275">
        <f t="shared" si="2"/>
        <v>97.41557463847249</v>
      </c>
    </row>
    <row r="198" spans="1:5" ht="12.75" customHeight="1">
      <c r="A198" s="118"/>
      <c r="B198" s="12" t="s">
        <v>71</v>
      </c>
      <c r="C198" s="105">
        <f>'Fk-wyd'!F556</f>
        <v>207459.22999999998</v>
      </c>
      <c r="D198" s="105">
        <f>'Fk-wyd'!G556</f>
        <v>206577.17</v>
      </c>
      <c r="E198" s="275">
        <f t="shared" si="2"/>
        <v>99.57482730462272</v>
      </c>
    </row>
    <row r="199" spans="1:5" ht="12.75" customHeight="1">
      <c r="A199" s="118"/>
      <c r="B199" s="12" t="s">
        <v>72</v>
      </c>
      <c r="C199" s="105">
        <f>'Fk-wyd'!F557</f>
        <v>34292.770000000004</v>
      </c>
      <c r="D199" s="105">
        <f>'Fk-wyd'!G557</f>
        <v>28926.93</v>
      </c>
      <c r="E199" s="275">
        <f t="shared" si="2"/>
        <v>84.35285338571366</v>
      </c>
    </row>
    <row r="200" spans="1:5" ht="12.75" customHeight="1">
      <c r="A200" s="118">
        <v>85415</v>
      </c>
      <c r="B200" s="12" t="s">
        <v>193</v>
      </c>
      <c r="C200" s="105">
        <f>C201</f>
        <v>322996</v>
      </c>
      <c r="D200" s="105">
        <f>D201</f>
        <v>299760.48</v>
      </c>
      <c r="E200" s="275">
        <f t="shared" si="2"/>
        <v>92.80625147060644</v>
      </c>
    </row>
    <row r="201" spans="1:5" ht="12.75" customHeight="1">
      <c r="A201" s="118"/>
      <c r="B201" s="12" t="s">
        <v>23</v>
      </c>
      <c r="C201" s="105">
        <f>'Fk-wyd'!F572</f>
        <v>322996</v>
      </c>
      <c r="D201" s="105">
        <f>'Fk-wyd'!G572</f>
        <v>299760.48</v>
      </c>
      <c r="E201" s="275">
        <f t="shared" si="2"/>
        <v>92.80625147060644</v>
      </c>
    </row>
    <row r="202" spans="1:5" ht="12.75" customHeight="1">
      <c r="A202" s="244">
        <v>85446</v>
      </c>
      <c r="B202" s="83" t="s">
        <v>87</v>
      </c>
      <c r="C202" s="108">
        <f>C203</f>
        <v>1440</v>
      </c>
      <c r="D202" s="157">
        <f>D203</f>
        <v>0</v>
      </c>
      <c r="E202" s="275">
        <f t="shared" si="2"/>
        <v>0</v>
      </c>
    </row>
    <row r="203" spans="1:5" ht="12.75" customHeight="1">
      <c r="A203" s="118"/>
      <c r="B203" s="12" t="s">
        <v>23</v>
      </c>
      <c r="C203" s="105">
        <f>'Fk-wyd'!D578</f>
        <v>1440</v>
      </c>
      <c r="D203" s="105">
        <f>'Fk-wyd'!E578</f>
        <v>0</v>
      </c>
      <c r="E203" s="275">
        <f>D203/C203%</f>
        <v>0</v>
      </c>
    </row>
    <row r="204" spans="1:5" ht="12.75" customHeight="1">
      <c r="A204" s="117">
        <v>900</v>
      </c>
      <c r="B204" s="11" t="s">
        <v>10</v>
      </c>
      <c r="C204" s="93">
        <f>C205+C209+C213+C215+C220+C218</f>
        <v>2130772</v>
      </c>
      <c r="D204" s="93">
        <f>D205+D209+D213+D215+D220+D218</f>
        <v>1868543.06</v>
      </c>
      <c r="E204" s="274">
        <f t="shared" si="2"/>
        <v>87.69324263694098</v>
      </c>
    </row>
    <row r="205" spans="1:5" ht="12.75" customHeight="1">
      <c r="A205" s="118">
        <v>90001</v>
      </c>
      <c r="B205" s="12" t="s">
        <v>55</v>
      </c>
      <c r="C205" s="111">
        <f>C207+C206+C208</f>
        <v>662804</v>
      </c>
      <c r="D205" s="111">
        <f>D207+D206+D208</f>
        <v>615095.98</v>
      </c>
      <c r="E205" s="275">
        <f t="shared" si="2"/>
        <v>92.802092322919</v>
      </c>
    </row>
    <row r="206" spans="1:5" ht="12.75" customHeight="1">
      <c r="A206" s="118"/>
      <c r="B206" s="12" t="s">
        <v>295</v>
      </c>
      <c r="C206" s="111">
        <f>'Fk-wyd'!D580</f>
        <v>281300</v>
      </c>
      <c r="D206" s="111">
        <f>'Fk-wyd'!E580</f>
        <v>267387.28</v>
      </c>
      <c r="E206" s="275">
        <f t="shared" si="2"/>
        <v>95.05413437611092</v>
      </c>
    </row>
    <row r="207" spans="1:5" ht="12.75" customHeight="1">
      <c r="A207" s="118"/>
      <c r="B207" s="12" t="s">
        <v>23</v>
      </c>
      <c r="C207" s="111">
        <f>'Fk-wyd'!F581</f>
        <v>64200</v>
      </c>
      <c r="D207" s="111">
        <f>'Fk-wyd'!G581</f>
        <v>63191.200000000004</v>
      </c>
      <c r="E207" s="275">
        <f t="shared" si="2"/>
        <v>98.42866043613708</v>
      </c>
    </row>
    <row r="208" spans="1:5" ht="12.75" customHeight="1">
      <c r="A208" s="118"/>
      <c r="B208" s="12" t="s">
        <v>56</v>
      </c>
      <c r="C208" s="111">
        <f>'Fk-wyd'!D585</f>
        <v>317304</v>
      </c>
      <c r="D208" s="111">
        <f>'Fk-wyd'!E585</f>
        <v>284517.5</v>
      </c>
      <c r="E208" s="275">
        <f t="shared" si="2"/>
        <v>89.66716461185487</v>
      </c>
    </row>
    <row r="209" spans="1:5" ht="12.75" customHeight="1">
      <c r="A209" s="118">
        <v>90003</v>
      </c>
      <c r="B209" s="12" t="s">
        <v>57</v>
      </c>
      <c r="C209" s="111">
        <f>C210</f>
        <v>465100</v>
      </c>
      <c r="D209" s="111">
        <f>D210</f>
        <v>461879.33</v>
      </c>
      <c r="E209" s="275">
        <f t="shared" si="2"/>
        <v>99.30753171360998</v>
      </c>
    </row>
    <row r="210" spans="1:5" ht="12.75" customHeight="1">
      <c r="A210" s="118"/>
      <c r="B210" s="12" t="s">
        <v>23</v>
      </c>
      <c r="C210" s="111">
        <f>C211+C212</f>
        <v>465100</v>
      </c>
      <c r="D210" s="111">
        <f>D211+D212</f>
        <v>461879.33</v>
      </c>
      <c r="E210" s="275">
        <f t="shared" si="2"/>
        <v>99.30753171360998</v>
      </c>
    </row>
    <row r="211" spans="1:5" ht="12.75" customHeight="1">
      <c r="A211" s="118"/>
      <c r="B211" s="12" t="s">
        <v>71</v>
      </c>
      <c r="C211" s="111">
        <f>'Fk-wyd'!F587</f>
        <v>2100</v>
      </c>
      <c r="D211" s="111">
        <f>'Fk-wyd'!G587</f>
        <v>1704</v>
      </c>
      <c r="E211" s="275">
        <f aca="true" t="shared" si="3" ref="E211:E217">D211/C211%</f>
        <v>81.14285714285714</v>
      </c>
    </row>
    <row r="212" spans="1:5" ht="12.75" customHeight="1">
      <c r="A212" s="118"/>
      <c r="B212" s="12" t="s">
        <v>88</v>
      </c>
      <c r="C212" s="111">
        <f>'Fk-wyd'!F588</f>
        <v>463000</v>
      </c>
      <c r="D212" s="111">
        <f>'Fk-wyd'!G588</f>
        <v>460175.33</v>
      </c>
      <c r="E212" s="275">
        <f t="shared" si="3"/>
        <v>99.38992008639309</v>
      </c>
    </row>
    <row r="213" spans="1:5" ht="12.75" customHeight="1">
      <c r="A213" s="118">
        <v>90004</v>
      </c>
      <c r="B213" s="12" t="s">
        <v>58</v>
      </c>
      <c r="C213" s="111">
        <f>C214</f>
        <v>70600</v>
      </c>
      <c r="D213" s="111">
        <f>D214</f>
        <v>66636.48000000001</v>
      </c>
      <c r="E213" s="275">
        <f t="shared" si="3"/>
        <v>94.3859490084986</v>
      </c>
    </row>
    <row r="214" spans="1:5" ht="12.75" customHeight="1">
      <c r="A214" s="118"/>
      <c r="B214" s="12" t="s">
        <v>23</v>
      </c>
      <c r="C214" s="104">
        <f>'Fk-wyd'!F593</f>
        <v>70600</v>
      </c>
      <c r="D214" s="104">
        <f>'Fk-wyd'!G593</f>
        <v>66636.48000000001</v>
      </c>
      <c r="E214" s="275">
        <f t="shared" si="3"/>
        <v>94.3859490084986</v>
      </c>
    </row>
    <row r="215" spans="1:5" ht="12.75" customHeight="1">
      <c r="A215" s="118">
        <v>90015</v>
      </c>
      <c r="B215" s="12" t="s">
        <v>59</v>
      </c>
      <c r="C215" s="111">
        <f>C216+C217</f>
        <v>768865</v>
      </c>
      <c r="D215" s="111">
        <f>D216+D217</f>
        <v>592436.76</v>
      </c>
      <c r="E215" s="275">
        <f t="shared" si="3"/>
        <v>77.05341770011641</v>
      </c>
    </row>
    <row r="216" spans="1:5" ht="12.75" customHeight="1">
      <c r="A216" s="118"/>
      <c r="B216" s="12" t="s">
        <v>23</v>
      </c>
      <c r="C216" s="104">
        <f>'Fk-wyd'!F596</f>
        <v>491865</v>
      </c>
      <c r="D216" s="104">
        <f>'Fk-wyd'!G596</f>
        <v>490174.75</v>
      </c>
      <c r="E216" s="275">
        <f t="shared" si="3"/>
        <v>99.65635896028382</v>
      </c>
    </row>
    <row r="217" spans="1:5" ht="12.75" customHeight="1">
      <c r="A217" s="118"/>
      <c r="B217" s="12" t="s">
        <v>56</v>
      </c>
      <c r="C217" s="104">
        <f>'Fk-wyd'!D600</f>
        <v>277000</v>
      </c>
      <c r="D217" s="104">
        <f>'Fk-wyd'!E600</f>
        <v>102262.01</v>
      </c>
      <c r="E217" s="275">
        <f t="shared" si="3"/>
        <v>36.91769314079422</v>
      </c>
    </row>
    <row r="218" spans="1:5" ht="12.75" customHeight="1">
      <c r="A218" s="118">
        <v>90020</v>
      </c>
      <c r="B218" s="12" t="s">
        <v>237</v>
      </c>
      <c r="C218" s="104">
        <f>C219</f>
        <v>3983</v>
      </c>
      <c r="D218" s="104">
        <f>D219</f>
        <v>3983</v>
      </c>
      <c r="E218" s="275">
        <f aca="true" t="shared" si="4" ref="E218:E246">D218/C218%</f>
        <v>100</v>
      </c>
    </row>
    <row r="219" spans="1:5" ht="12.75" customHeight="1">
      <c r="A219" s="118"/>
      <c r="B219" s="12" t="s">
        <v>23</v>
      </c>
      <c r="C219" s="104">
        <f>'Fk-wyd'!D602</f>
        <v>3983</v>
      </c>
      <c r="D219" s="104">
        <f>'Fk-wyd'!E602</f>
        <v>3983</v>
      </c>
      <c r="E219" s="275">
        <f t="shared" si="4"/>
        <v>100</v>
      </c>
    </row>
    <row r="220" spans="1:5" ht="12.75" customHeight="1">
      <c r="A220" s="118">
        <v>90095</v>
      </c>
      <c r="B220" s="12" t="s">
        <v>26</v>
      </c>
      <c r="C220" s="111">
        <f>C221+C224</f>
        <v>159420</v>
      </c>
      <c r="D220" s="111">
        <f>D221+D224</f>
        <v>128511.51000000001</v>
      </c>
      <c r="E220" s="275">
        <f t="shared" si="4"/>
        <v>80.61191193074897</v>
      </c>
    </row>
    <row r="221" spans="1:5" ht="12.75" customHeight="1">
      <c r="A221" s="118"/>
      <c r="B221" s="12" t="s">
        <v>23</v>
      </c>
      <c r="C221" s="111">
        <f>C222+C223</f>
        <v>107420</v>
      </c>
      <c r="D221" s="111">
        <f>D222+D223</f>
        <v>94511.51000000001</v>
      </c>
      <c r="E221" s="275">
        <f t="shared" si="4"/>
        <v>87.98315956060324</v>
      </c>
    </row>
    <row r="222" spans="1:5" ht="12.75" customHeight="1">
      <c r="A222" s="118"/>
      <c r="B222" s="12" t="s">
        <v>71</v>
      </c>
      <c r="C222" s="104">
        <f>'Fk-wyd'!F605</f>
        <v>58420</v>
      </c>
      <c r="D222" s="104">
        <f>'Fk-wyd'!G605</f>
        <v>54816.71</v>
      </c>
      <c r="E222" s="275">
        <f t="shared" si="4"/>
        <v>93.83209517288599</v>
      </c>
    </row>
    <row r="223" spans="1:5" ht="12.75" customHeight="1">
      <c r="A223" s="118"/>
      <c r="B223" s="12" t="s">
        <v>72</v>
      </c>
      <c r="C223" s="104">
        <f>'Fk-wyd'!F606</f>
        <v>49000</v>
      </c>
      <c r="D223" s="104">
        <f>'Fk-wyd'!G606</f>
        <v>39694.8</v>
      </c>
      <c r="E223" s="275">
        <f t="shared" si="4"/>
        <v>81.00979591836736</v>
      </c>
    </row>
    <row r="224" spans="1:5" ht="12.75" customHeight="1">
      <c r="A224" s="235"/>
      <c r="B224" s="40" t="s">
        <v>56</v>
      </c>
      <c r="C224" s="102">
        <f>'Fk-wyd'!F607</f>
        <v>52000</v>
      </c>
      <c r="D224" s="102">
        <f>'Fk-wyd'!G607</f>
        <v>34000</v>
      </c>
      <c r="E224" s="276">
        <f t="shared" si="4"/>
        <v>65.38461538461539</v>
      </c>
    </row>
    <row r="225" spans="1:5" s="38" customFormat="1" ht="12.75" customHeight="1">
      <c r="A225" s="236">
        <v>921</v>
      </c>
      <c r="B225" s="45" t="s">
        <v>11</v>
      </c>
      <c r="C225" s="110">
        <f>C226+C229+C233+C231</f>
        <v>1441794</v>
      </c>
      <c r="D225" s="110">
        <f>D226+D229+D233+D231</f>
        <v>1427934.5300000003</v>
      </c>
      <c r="E225" s="277">
        <f t="shared" si="4"/>
        <v>99.03873438230428</v>
      </c>
    </row>
    <row r="226" spans="1:5" ht="12.75" customHeight="1">
      <c r="A226" s="237">
        <v>92109</v>
      </c>
      <c r="B226" s="46" t="s">
        <v>60</v>
      </c>
      <c r="C226" s="111">
        <f>C227+C228</f>
        <v>681300</v>
      </c>
      <c r="D226" s="111">
        <f>D227+D228</f>
        <v>681300</v>
      </c>
      <c r="E226" s="275">
        <f t="shared" si="4"/>
        <v>100</v>
      </c>
    </row>
    <row r="227" spans="1:5" ht="12.75" customHeight="1">
      <c r="A227" s="237"/>
      <c r="B227" s="46" t="s">
        <v>298</v>
      </c>
      <c r="C227" s="104">
        <f>'Fk-wyd'!D618</f>
        <v>605657.49</v>
      </c>
      <c r="D227" s="104">
        <f>'Fk-wyd'!E618</f>
        <v>605657.49</v>
      </c>
      <c r="E227" s="275">
        <f t="shared" si="4"/>
        <v>100</v>
      </c>
    </row>
    <row r="228" spans="1:5" ht="12.75" customHeight="1">
      <c r="A228" s="237"/>
      <c r="B228" s="46" t="s">
        <v>565</v>
      </c>
      <c r="C228" s="104">
        <f>'Fk-wyd'!D619</f>
        <v>75642.51</v>
      </c>
      <c r="D228" s="104">
        <f>'Fk-wyd'!E619</f>
        <v>75642.51</v>
      </c>
      <c r="E228" s="275">
        <f t="shared" si="4"/>
        <v>100</v>
      </c>
    </row>
    <row r="229" spans="1:5" ht="12.75" customHeight="1">
      <c r="A229" s="237">
        <v>92116</v>
      </c>
      <c r="B229" s="46" t="s">
        <v>61</v>
      </c>
      <c r="C229" s="95">
        <f>C230</f>
        <v>655494</v>
      </c>
      <c r="D229" s="170">
        <f>D230</f>
        <v>653850.16</v>
      </c>
      <c r="E229" s="275">
        <f t="shared" si="4"/>
        <v>99.74922119805827</v>
      </c>
    </row>
    <row r="230" spans="1:5" ht="12.75" customHeight="1">
      <c r="A230" s="237"/>
      <c r="B230" s="46" t="s">
        <v>298</v>
      </c>
      <c r="C230" s="104">
        <f>'Fk-wyd'!D621</f>
        <v>655494</v>
      </c>
      <c r="D230" s="104">
        <f>'Fk-wyd'!E621</f>
        <v>653850.16</v>
      </c>
      <c r="E230" s="275">
        <f t="shared" si="4"/>
        <v>99.74922119805827</v>
      </c>
    </row>
    <row r="231" spans="1:5" ht="12.75" customHeight="1">
      <c r="A231" s="237">
        <v>92120</v>
      </c>
      <c r="B231" s="233" t="s">
        <v>405</v>
      </c>
      <c r="C231" s="104">
        <f>C232</f>
        <v>35000</v>
      </c>
      <c r="D231" s="104">
        <f>D232</f>
        <v>35000</v>
      </c>
      <c r="E231" s="275">
        <f t="shared" si="4"/>
        <v>100</v>
      </c>
    </row>
    <row r="232" spans="1:5" ht="12.75" customHeight="1">
      <c r="A232" s="237"/>
      <c r="B232" s="46" t="s">
        <v>229</v>
      </c>
      <c r="C232" s="104">
        <f>'Fk-wyd'!D623</f>
        <v>35000</v>
      </c>
      <c r="D232" s="104">
        <f>'Fk-wyd'!E623</f>
        <v>35000</v>
      </c>
      <c r="E232" s="275">
        <f>D232/C232%</f>
        <v>100</v>
      </c>
    </row>
    <row r="233" spans="1:5" ht="12.75" customHeight="1">
      <c r="A233" s="237">
        <v>92195</v>
      </c>
      <c r="B233" s="46" t="s">
        <v>26</v>
      </c>
      <c r="C233" s="95">
        <f>C234</f>
        <v>70000</v>
      </c>
      <c r="D233" s="95">
        <f>D234</f>
        <v>57784.37</v>
      </c>
      <c r="E233" s="275">
        <f t="shared" si="4"/>
        <v>82.54910000000001</v>
      </c>
    </row>
    <row r="234" spans="1:5" ht="12.75" customHeight="1">
      <c r="A234" s="242"/>
      <c r="B234" s="46" t="s">
        <v>295</v>
      </c>
      <c r="C234" s="95">
        <f>'Fk-wyd'!D625</f>
        <v>70000</v>
      </c>
      <c r="D234" s="95">
        <f>'Fk-wyd'!E625</f>
        <v>57784.37</v>
      </c>
      <c r="E234" s="275">
        <f t="shared" si="4"/>
        <v>82.54910000000001</v>
      </c>
    </row>
    <row r="235" spans="1:5" s="38" customFormat="1" ht="12.75" customHeight="1">
      <c r="A235" s="117">
        <v>926</v>
      </c>
      <c r="B235" s="11" t="s">
        <v>62</v>
      </c>
      <c r="C235" s="112">
        <f>C236+C242</f>
        <v>1918258.43</v>
      </c>
      <c r="D235" s="112">
        <f>D236+D242</f>
        <v>1883145.63</v>
      </c>
      <c r="E235" s="274">
        <f t="shared" si="4"/>
        <v>98.16954798942288</v>
      </c>
    </row>
    <row r="236" spans="1:5" ht="12.75" customHeight="1">
      <c r="A236" s="118">
        <v>92605</v>
      </c>
      <c r="B236" s="12" t="s">
        <v>108</v>
      </c>
      <c r="C236" s="113">
        <f>C237+C241</f>
        <v>1898258.43</v>
      </c>
      <c r="D236" s="113">
        <f>D237+D241</f>
        <v>1863145.63</v>
      </c>
      <c r="E236" s="275">
        <f t="shared" si="4"/>
        <v>98.15026239604268</v>
      </c>
    </row>
    <row r="237" spans="1:5" ht="12.75" customHeight="1">
      <c r="A237" s="118"/>
      <c r="B237" s="12" t="s">
        <v>64</v>
      </c>
      <c r="C237" s="113">
        <f>C238+C240+C239</f>
        <v>193391</v>
      </c>
      <c r="D237" s="113">
        <f>D238+D240+D239</f>
        <v>178657.63</v>
      </c>
      <c r="E237" s="275">
        <f t="shared" si="4"/>
        <v>92.38156377494299</v>
      </c>
    </row>
    <row r="238" spans="1:5" ht="12.75" customHeight="1">
      <c r="A238" s="118"/>
      <c r="B238" s="12" t="s">
        <v>229</v>
      </c>
      <c r="C238" s="105">
        <f>'Fk-wyd'!D627</f>
        <v>55000</v>
      </c>
      <c r="D238" s="105">
        <f>'Fk-wyd'!E627</f>
        <v>55000</v>
      </c>
      <c r="E238" s="275">
        <f t="shared" si="4"/>
        <v>100</v>
      </c>
    </row>
    <row r="239" spans="1:5" ht="12.75" customHeight="1">
      <c r="A239" s="118"/>
      <c r="B239" s="12" t="s">
        <v>71</v>
      </c>
      <c r="C239" s="105">
        <f>'Fk-wyd'!D629</f>
        <v>3220</v>
      </c>
      <c r="D239" s="105">
        <f>'Fk-wyd'!E629</f>
        <v>1500</v>
      </c>
      <c r="E239" s="275">
        <f t="shared" si="4"/>
        <v>46.58385093167701</v>
      </c>
    </row>
    <row r="240" spans="1:5" ht="12.75" customHeight="1">
      <c r="A240" s="118"/>
      <c r="B240" s="12" t="s">
        <v>72</v>
      </c>
      <c r="C240" s="105">
        <f>'Fk-wyd'!F630</f>
        <v>135171</v>
      </c>
      <c r="D240" s="105">
        <f>'Fk-wyd'!G630</f>
        <v>122157.63</v>
      </c>
      <c r="E240" s="275">
        <f t="shared" si="4"/>
        <v>90.37266129569213</v>
      </c>
    </row>
    <row r="241" spans="1:5" ht="12.75" customHeight="1">
      <c r="A241" s="118"/>
      <c r="B241" s="12" t="s">
        <v>56</v>
      </c>
      <c r="C241" s="105">
        <f>'Fk-wyd'!D636</f>
        <v>1704867.43</v>
      </c>
      <c r="D241" s="105">
        <f>'Fk-wyd'!E636</f>
        <v>1684488</v>
      </c>
      <c r="E241" s="275">
        <f t="shared" si="4"/>
        <v>98.80463256899688</v>
      </c>
    </row>
    <row r="242" spans="1:5" ht="12.75" customHeight="1">
      <c r="A242" s="118">
        <v>92695</v>
      </c>
      <c r="B242" s="12" t="s">
        <v>299</v>
      </c>
      <c r="C242" s="111">
        <f>C243</f>
        <v>20000</v>
      </c>
      <c r="D242" s="111">
        <f>D243</f>
        <v>20000</v>
      </c>
      <c r="E242" s="275">
        <f t="shared" si="4"/>
        <v>100</v>
      </c>
    </row>
    <row r="243" spans="1:5" ht="12.75" customHeight="1">
      <c r="A243" s="118"/>
      <c r="B243" s="12" t="s">
        <v>23</v>
      </c>
      <c r="C243" s="111">
        <f>C244+C245</f>
        <v>20000</v>
      </c>
      <c r="D243" s="111">
        <f>D244+D245</f>
        <v>20000</v>
      </c>
      <c r="E243" s="275">
        <f t="shared" si="4"/>
        <v>100</v>
      </c>
    </row>
    <row r="244" spans="1:5" ht="12.75" customHeight="1">
      <c r="A244" s="118"/>
      <c r="B244" s="12" t="s">
        <v>71</v>
      </c>
      <c r="C244" s="111">
        <f>'Fk-wyd'!F638</f>
        <v>7999.99</v>
      </c>
      <c r="D244" s="111">
        <f>'Fk-wyd'!G638</f>
        <v>7999.99</v>
      </c>
      <c r="E244" s="275">
        <f t="shared" si="4"/>
        <v>100</v>
      </c>
    </row>
    <row r="245" spans="1:5" ht="12.75" customHeight="1">
      <c r="A245" s="118"/>
      <c r="B245" s="12" t="s">
        <v>88</v>
      </c>
      <c r="C245" s="111">
        <f>'Fk-wyd'!F639</f>
        <v>12000.01</v>
      </c>
      <c r="D245" s="111">
        <f>'Fk-wyd'!G639</f>
        <v>12000.01</v>
      </c>
      <c r="E245" s="275">
        <f t="shared" si="4"/>
        <v>100</v>
      </c>
    </row>
    <row r="246" spans="1:5" ht="12.75" customHeight="1">
      <c r="A246" s="246"/>
      <c r="B246" s="133" t="s">
        <v>12</v>
      </c>
      <c r="C246" s="120">
        <f>C4+C12+C16+C27+C32+C44+C54+C60+C67+C88+C97+C114+C118+C120+C155+C163+C195+C204+C225+C235+C109+C192</f>
        <v>48901495.31</v>
      </c>
      <c r="D246" s="120">
        <f>D4+D12+D16+D27+D32+D44+D54+D60+D67+D88+D97+D114+D118+D120+D155+D163+D195+D204+D225+D235+D109+D192</f>
        <v>47121646.330000006</v>
      </c>
      <c r="E246" s="295">
        <f t="shared" si="4"/>
        <v>96.36033833174825</v>
      </c>
    </row>
    <row r="248" spans="3:5" ht="12.75" customHeight="1" hidden="1">
      <c r="C248" s="114" t="e">
        <f>Dochody!#REF!-Wydatki!C246</f>
        <v>#REF!</v>
      </c>
      <c r="D248" s="114" t="e">
        <f>Dochody!#REF!-Wydatki!D246</f>
        <v>#REF!</v>
      </c>
      <c r="E248" s="379" t="e">
        <f>Dochody!#REF!-Wydatki!E246</f>
        <v>#REF!</v>
      </c>
    </row>
    <row r="250" ht="12.75" customHeight="1" hidden="1"/>
    <row r="251" spans="3:4" ht="12.75" customHeight="1" hidden="1">
      <c r="C251" s="247">
        <v>48901495.31</v>
      </c>
      <c r="D251" s="247">
        <f>47121644.45+1.88</f>
        <v>47121646.330000006</v>
      </c>
    </row>
    <row r="252" spans="3:4" ht="12.75" customHeight="1" hidden="1">
      <c r="C252" s="114">
        <f>C246-C251</f>
        <v>0</v>
      </c>
      <c r="D252" s="114">
        <f>D246-D251</f>
        <v>0</v>
      </c>
    </row>
    <row r="253" ht="12.75" customHeight="1" hidden="1"/>
  </sheetData>
  <mergeCells count="2">
    <mergeCell ref="A1:C1"/>
    <mergeCell ref="A2:E2"/>
  </mergeCells>
  <printOptions/>
  <pageMargins left="0.7874015748031497" right="0.1968503937007874" top="0.36" bottom="0.5118110236220472" header="0.2362204724409449" footer="0.2362204724409449"/>
  <pageSetup horizontalDpi="300" verticalDpi="300" orientation="portrait" paperSize="9" r:id="rId1"/>
  <headerFooter alignWithMargins="0">
    <oddFooter>&amp;CStrona &amp;P</oddFooter>
  </headerFooter>
  <rowBreaks count="3" manualBreakCount="3">
    <brk id="62" max="4" man="1"/>
    <brk id="125" max="4" man="1"/>
    <brk id="18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E161"/>
  <sheetViews>
    <sheetView showGridLines="0" workbookViewId="0" topLeftCell="A124">
      <selection activeCell="C172" sqref="C172"/>
    </sheetView>
  </sheetViews>
  <sheetFormatPr defaultColWidth="9.00390625" defaultRowHeight="12.75" customHeight="1"/>
  <cols>
    <col min="1" max="1" width="9.125" style="68" customWidth="1"/>
    <col min="2" max="2" width="7.125" style="68" customWidth="1"/>
    <col min="3" max="3" width="44.625" style="68" customWidth="1"/>
    <col min="4" max="4" width="16.00390625" style="68" customWidth="1"/>
    <col min="5" max="5" width="7.625" style="68" customWidth="1"/>
    <col min="6" max="16384" width="9.125" style="68" customWidth="1"/>
  </cols>
  <sheetData>
    <row r="1" spans="2:5" ht="12.75" customHeight="1">
      <c r="B1" s="540" t="s">
        <v>115</v>
      </c>
      <c r="C1" s="540"/>
      <c r="D1" s="540"/>
      <c r="E1" s="66"/>
    </row>
    <row r="2" spans="2:5" ht="12.75" customHeight="1">
      <c r="B2" s="539" t="s">
        <v>236</v>
      </c>
      <c r="C2" s="539"/>
      <c r="D2" s="539"/>
      <c r="E2" s="66"/>
    </row>
    <row r="4" spans="2:5" s="37" customFormat="1" ht="12.75" customHeight="1">
      <c r="B4" s="123" t="s">
        <v>21</v>
      </c>
      <c r="C4" s="124" t="s">
        <v>23</v>
      </c>
      <c r="D4" s="120" t="s">
        <v>182</v>
      </c>
      <c r="E4" s="154" t="s">
        <v>234</v>
      </c>
    </row>
    <row r="5" spans="2:5" s="38" customFormat="1" ht="12.75" customHeight="1">
      <c r="B5" s="29">
        <v>801</v>
      </c>
      <c r="C5" s="11" t="s">
        <v>9</v>
      </c>
      <c r="D5" s="158">
        <f>D6+D8+D9+D10+D12+D11+D7</f>
        <v>19568039.150000002</v>
      </c>
      <c r="E5" s="73">
        <f aca="true" t="shared" si="0" ref="E5:E28">D5/39394696.33%</f>
        <v>49.67176034581709</v>
      </c>
    </row>
    <row r="6" spans="2:5" ht="12.75" customHeight="1">
      <c r="B6" s="24">
        <v>80101</v>
      </c>
      <c r="C6" s="12" t="s">
        <v>42</v>
      </c>
      <c r="D6" s="155">
        <f>Wydatki!C121-502653.8</f>
        <v>9652801.42</v>
      </c>
      <c r="E6" s="67">
        <f t="shared" si="0"/>
        <v>24.50279433338127</v>
      </c>
    </row>
    <row r="7" spans="2:5" s="38" customFormat="1" ht="12.75" customHeight="1">
      <c r="B7" s="24">
        <v>80103</v>
      </c>
      <c r="C7" s="12" t="s">
        <v>167</v>
      </c>
      <c r="D7" s="156">
        <f>Wydatki!C126</f>
        <v>588892.12</v>
      </c>
      <c r="E7" s="67">
        <f t="shared" si="0"/>
        <v>1.4948512740572761</v>
      </c>
    </row>
    <row r="8" spans="2:5" ht="12.75" customHeight="1">
      <c r="B8" s="24">
        <v>80104</v>
      </c>
      <c r="C8" s="12" t="s">
        <v>164</v>
      </c>
      <c r="D8" s="155">
        <f>Wydatki!C130</f>
        <v>2749107.34</v>
      </c>
      <c r="E8" s="67">
        <f t="shared" si="0"/>
        <v>6.978369161603332</v>
      </c>
    </row>
    <row r="9" spans="2:5" s="38" customFormat="1" ht="12.75" customHeight="1">
      <c r="B9" s="24">
        <v>80110</v>
      </c>
      <c r="C9" s="12" t="s">
        <v>43</v>
      </c>
      <c r="D9" s="155">
        <f>Wydatki!C133</f>
        <v>3682149.01</v>
      </c>
      <c r="E9" s="67">
        <f t="shared" si="0"/>
        <v>9.346814046123146</v>
      </c>
    </row>
    <row r="10" spans="2:5" ht="12.75" customHeight="1">
      <c r="B10" s="24">
        <v>80113</v>
      </c>
      <c r="C10" s="12" t="s">
        <v>44</v>
      </c>
      <c r="D10" s="155">
        <f>Wydatki!C137</f>
        <v>432029</v>
      </c>
      <c r="E10" s="67">
        <f t="shared" si="0"/>
        <v>1.096667928040353</v>
      </c>
    </row>
    <row r="11" spans="2:5" ht="12.75" customHeight="1">
      <c r="B11" s="81">
        <v>80146</v>
      </c>
      <c r="C11" s="83" t="s">
        <v>87</v>
      </c>
      <c r="D11" s="157">
        <f>Wydatki!C141</f>
        <v>75760</v>
      </c>
      <c r="E11" s="67">
        <f t="shared" si="0"/>
        <v>0.19231015100453244</v>
      </c>
    </row>
    <row r="12" spans="2:5" s="38" customFormat="1" ht="12.75" customHeight="1">
      <c r="B12" s="30">
        <v>80195</v>
      </c>
      <c r="C12" s="40" t="s">
        <v>78</v>
      </c>
      <c r="D12" s="159">
        <f>Wydatki!C149</f>
        <v>2387300.2600000002</v>
      </c>
      <c r="E12" s="89">
        <f t="shared" si="0"/>
        <v>6.059953451607175</v>
      </c>
    </row>
    <row r="13" spans="2:5" ht="12.75" customHeight="1">
      <c r="B13" s="29">
        <v>854</v>
      </c>
      <c r="C13" s="11" t="s">
        <v>53</v>
      </c>
      <c r="D13" s="112">
        <f>D14+D15+D16</f>
        <v>566188</v>
      </c>
      <c r="E13" s="73">
        <f t="shared" si="0"/>
        <v>1.437218846052722</v>
      </c>
    </row>
    <row r="14" spans="2:5" s="38" customFormat="1" ht="12.75" customHeight="1">
      <c r="B14" s="24">
        <v>85401</v>
      </c>
      <c r="C14" s="12" t="s">
        <v>54</v>
      </c>
      <c r="D14" s="113">
        <f>Wydatki!C196</f>
        <v>241752</v>
      </c>
      <c r="E14" s="67">
        <f t="shared" si="0"/>
        <v>0.6136663625349489</v>
      </c>
    </row>
    <row r="15" spans="2:5" s="38" customFormat="1" ht="12.75" customHeight="1">
      <c r="B15" s="24">
        <v>85415</v>
      </c>
      <c r="C15" s="12" t="s">
        <v>193</v>
      </c>
      <c r="D15" s="105">
        <f>Wydatki!C200</f>
        <v>322996</v>
      </c>
      <c r="E15" s="67">
        <f t="shared" si="0"/>
        <v>0.8198971691375391</v>
      </c>
    </row>
    <row r="16" spans="2:5" ht="12.75" customHeight="1">
      <c r="B16" s="140">
        <v>85446</v>
      </c>
      <c r="C16" s="152" t="s">
        <v>87</v>
      </c>
      <c r="D16" s="153">
        <f>Wydatki!C202</f>
        <v>1440</v>
      </c>
      <c r="E16" s="89">
        <f t="shared" si="0"/>
        <v>0.003655314380233985</v>
      </c>
    </row>
    <row r="17" spans="2:5" s="38" customFormat="1" ht="12.75" customHeight="1">
      <c r="B17" s="32">
        <v>921</v>
      </c>
      <c r="C17" s="47" t="s">
        <v>11</v>
      </c>
      <c r="D17" s="93">
        <f>D18+D19+D20</f>
        <v>1406794</v>
      </c>
      <c r="E17" s="73">
        <f t="shared" si="0"/>
        <v>3.571023845990895</v>
      </c>
    </row>
    <row r="18" spans="2:5" ht="12.75" customHeight="1">
      <c r="B18" s="26">
        <v>92109</v>
      </c>
      <c r="C18" s="46" t="s">
        <v>60</v>
      </c>
      <c r="D18" s="111">
        <f>Wydatki!C226</f>
        <v>681300</v>
      </c>
      <c r="E18" s="67">
        <f t="shared" si="0"/>
        <v>1.7294206161482042</v>
      </c>
    </row>
    <row r="19" spans="2:5" s="38" customFormat="1" ht="12.75" customHeight="1">
      <c r="B19" s="26">
        <v>92116</v>
      </c>
      <c r="C19" s="46" t="s">
        <v>61</v>
      </c>
      <c r="D19" s="95">
        <f>Wydatki!C229</f>
        <v>655494</v>
      </c>
      <c r="E19" s="67">
        <f t="shared" si="0"/>
        <v>1.6639143363590942</v>
      </c>
    </row>
    <row r="20" spans="2:5" ht="12.75" customHeight="1">
      <c r="B20" s="26">
        <v>92195</v>
      </c>
      <c r="C20" s="46" t="s">
        <v>26</v>
      </c>
      <c r="D20" s="95">
        <f>Wydatki!C233</f>
        <v>70000</v>
      </c>
      <c r="E20" s="89">
        <f t="shared" si="0"/>
        <v>0.1776888934835965</v>
      </c>
    </row>
    <row r="21" spans="2:5" ht="12.75" customHeight="1">
      <c r="B21" s="29">
        <v>926</v>
      </c>
      <c r="C21" s="11" t="s">
        <v>62</v>
      </c>
      <c r="D21" s="112">
        <f>D22</f>
        <v>1835258.43</v>
      </c>
      <c r="E21" s="73">
        <f t="shared" si="0"/>
        <v>4.658643424044893</v>
      </c>
    </row>
    <row r="22" spans="2:5" s="38" customFormat="1" ht="12.75" customHeight="1">
      <c r="B22" s="30">
        <v>92605</v>
      </c>
      <c r="C22" s="40" t="s">
        <v>108</v>
      </c>
      <c r="D22" s="160">
        <f>Wydatki!C236-63000</f>
        <v>1835258.43</v>
      </c>
      <c r="E22" s="89">
        <f t="shared" si="0"/>
        <v>4.658643424044893</v>
      </c>
    </row>
    <row r="23" spans="2:5" s="38" customFormat="1" ht="12.75" customHeight="1">
      <c r="B23" s="32">
        <v>851</v>
      </c>
      <c r="C23" s="55" t="s">
        <v>45</v>
      </c>
      <c r="D23" s="94">
        <f>D24+D25</f>
        <v>220794</v>
      </c>
      <c r="E23" s="73">
        <f t="shared" si="0"/>
        <v>0.5604663078259601</v>
      </c>
    </row>
    <row r="24" spans="2:5" ht="12.75" customHeight="1">
      <c r="B24" s="26">
        <v>85153</v>
      </c>
      <c r="C24" s="50" t="s">
        <v>216</v>
      </c>
      <c r="D24" s="95">
        <f>Wydatki!C156</f>
        <v>10000</v>
      </c>
      <c r="E24" s="67">
        <f t="shared" si="0"/>
        <v>0.025384127640513787</v>
      </c>
    </row>
    <row r="25" spans="2:5" ht="12.75" customHeight="1">
      <c r="B25" s="31">
        <v>85154</v>
      </c>
      <c r="C25" s="56" t="s">
        <v>46</v>
      </c>
      <c r="D25" s="96">
        <f>Wydatki!C158</f>
        <v>210794</v>
      </c>
      <c r="E25" s="89">
        <f t="shared" si="0"/>
        <v>0.5350821801854463</v>
      </c>
    </row>
    <row r="26" spans="2:5" s="38" customFormat="1" ht="12.75" customHeight="1">
      <c r="B26" s="11">
        <v>630</v>
      </c>
      <c r="C26" s="47" t="s">
        <v>5</v>
      </c>
      <c r="D26" s="94">
        <f>D27</f>
        <v>338300</v>
      </c>
      <c r="E26" s="73">
        <f t="shared" si="0"/>
        <v>0.8587450380785814</v>
      </c>
    </row>
    <row r="27" spans="2:5" ht="12.75" customHeight="1">
      <c r="B27" s="12">
        <v>63001</v>
      </c>
      <c r="C27" s="46" t="s">
        <v>29</v>
      </c>
      <c r="D27" s="95">
        <f>Wydatki!C45</f>
        <v>338300</v>
      </c>
      <c r="E27" s="89">
        <f t="shared" si="0"/>
        <v>0.8587450380785814</v>
      </c>
    </row>
    <row r="28" spans="2:5" ht="12.75" customHeight="1">
      <c r="B28" s="161"/>
      <c r="C28" s="162" t="s">
        <v>12</v>
      </c>
      <c r="D28" s="163">
        <f>D5+D13+D17+D21+D23+D26</f>
        <v>23935373.580000002</v>
      </c>
      <c r="E28" s="131">
        <f t="shared" si="0"/>
        <v>60.75785780781015</v>
      </c>
    </row>
    <row r="30" spans="2:5" ht="12.75" customHeight="1">
      <c r="B30" s="123" t="s">
        <v>21</v>
      </c>
      <c r="C30" s="124" t="s">
        <v>23</v>
      </c>
      <c r="D30" s="120" t="s">
        <v>182</v>
      </c>
      <c r="E30" s="154" t="s">
        <v>234</v>
      </c>
    </row>
    <row r="31" spans="2:5" s="38" customFormat="1" ht="12.75" customHeight="1">
      <c r="B31" s="11">
        <v>852</v>
      </c>
      <c r="C31" s="11" t="s">
        <v>98</v>
      </c>
      <c r="D31" s="93">
        <f>D33+D35+D36+D37+D38+D39+D40+D34+D32</f>
        <v>9383410.98</v>
      </c>
      <c r="E31" s="73">
        <f aca="true" t="shared" si="1" ref="E31:E43">D31/39394696.33%</f>
        <v>23.818970201971855</v>
      </c>
    </row>
    <row r="32" spans="2:5" ht="12.75" customHeight="1">
      <c r="B32" s="12">
        <v>85202</v>
      </c>
      <c r="C32" s="12" t="s">
        <v>166</v>
      </c>
      <c r="D32" s="95">
        <f>Wydatki!C164</f>
        <v>198432</v>
      </c>
      <c r="E32" s="67">
        <f t="shared" si="1"/>
        <v>0.5037023215962432</v>
      </c>
    </row>
    <row r="33" spans="2:5" s="38" customFormat="1" ht="12.75" customHeight="1">
      <c r="B33" s="83">
        <v>85203</v>
      </c>
      <c r="C33" s="83" t="s">
        <v>47</v>
      </c>
      <c r="D33" s="115">
        <f>Wydatki!C166</f>
        <v>446899.2</v>
      </c>
      <c r="E33" s="67">
        <f t="shared" si="1"/>
        <v>1.13441463352435</v>
      </c>
    </row>
    <row r="34" spans="2:5" ht="15" customHeight="1">
      <c r="B34" s="88">
        <v>85212</v>
      </c>
      <c r="C34" s="12" t="s">
        <v>155</v>
      </c>
      <c r="D34" s="109">
        <f>Wydatki!C170</f>
        <v>5084829.09</v>
      </c>
      <c r="E34" s="67">
        <f t="shared" si="1"/>
        <v>12.907395065075756</v>
      </c>
    </row>
    <row r="35" spans="2:5" ht="12.75" customHeight="1">
      <c r="B35" s="12">
        <v>85213</v>
      </c>
      <c r="C35" s="12" t="s">
        <v>48</v>
      </c>
      <c r="D35" s="95">
        <f>Wydatki!C174</f>
        <v>26421</v>
      </c>
      <c r="E35" s="67">
        <f t="shared" si="1"/>
        <v>0.06706740363900147</v>
      </c>
    </row>
    <row r="36" spans="2:5" ht="12.75" customHeight="1">
      <c r="B36" s="12">
        <v>85214</v>
      </c>
      <c r="C36" s="12" t="s">
        <v>65</v>
      </c>
      <c r="D36" s="95">
        <f>Wydatki!C176</f>
        <v>1008760</v>
      </c>
      <c r="E36" s="67">
        <f t="shared" si="1"/>
        <v>2.560649259864469</v>
      </c>
    </row>
    <row r="37" spans="2:5" s="38" customFormat="1" ht="12.75" customHeight="1">
      <c r="B37" s="12">
        <v>85215</v>
      </c>
      <c r="C37" s="12" t="s">
        <v>50</v>
      </c>
      <c r="D37" s="95">
        <f>Wydatki!C180</f>
        <v>829651.81</v>
      </c>
      <c r="E37" s="67">
        <f t="shared" si="1"/>
        <v>2.105998744222329</v>
      </c>
    </row>
    <row r="38" spans="2:5" ht="12.75" customHeight="1">
      <c r="B38" s="12">
        <v>85219</v>
      </c>
      <c r="C38" s="12" t="s">
        <v>51</v>
      </c>
      <c r="D38" s="95">
        <f>Wydatki!C182</f>
        <v>879150</v>
      </c>
      <c r="E38" s="67">
        <f t="shared" si="1"/>
        <v>2.2316455815157696</v>
      </c>
    </row>
    <row r="39" spans="2:5" s="38" customFormat="1" ht="12.75" customHeight="1">
      <c r="B39" s="24">
        <v>85228</v>
      </c>
      <c r="C39" s="12" t="s">
        <v>52</v>
      </c>
      <c r="D39" s="98">
        <f>Wydatki!C186</f>
        <v>247802</v>
      </c>
      <c r="E39" s="67">
        <f t="shared" si="1"/>
        <v>0.6290237597574597</v>
      </c>
    </row>
    <row r="40" spans="2:5" ht="12.75" customHeight="1">
      <c r="B40" s="24">
        <v>85295</v>
      </c>
      <c r="C40" s="12" t="s">
        <v>26</v>
      </c>
      <c r="D40" s="98">
        <f>Wydatki!C190</f>
        <v>661465.88</v>
      </c>
      <c r="E40" s="89">
        <f t="shared" si="1"/>
        <v>1.6790734327764776</v>
      </c>
    </row>
    <row r="41" spans="2:5" s="38" customFormat="1" ht="12.75" customHeight="1">
      <c r="B41" s="29">
        <v>853</v>
      </c>
      <c r="C41" s="6" t="s">
        <v>209</v>
      </c>
      <c r="D41" s="106" t="e">
        <f>D42</f>
        <v>#REF!</v>
      </c>
      <c r="E41" s="73" t="e">
        <f t="shared" si="1"/>
        <v>#REF!</v>
      </c>
    </row>
    <row r="42" spans="2:5" s="38" customFormat="1" ht="12.75" customHeight="1">
      <c r="B42" s="24">
        <v>85395</v>
      </c>
      <c r="C42" s="12" t="s">
        <v>26</v>
      </c>
      <c r="D42" s="105" t="e">
        <f>Wydatki!#REF!</f>
        <v>#REF!</v>
      </c>
      <c r="E42" s="89" t="e">
        <f t="shared" si="1"/>
        <v>#REF!</v>
      </c>
    </row>
    <row r="43" spans="2:5" ht="12.75" customHeight="1">
      <c r="B43" s="161"/>
      <c r="C43" s="162" t="s">
        <v>12</v>
      </c>
      <c r="D43" s="163" t="e">
        <f>D31+D41</f>
        <v>#REF!</v>
      </c>
      <c r="E43" s="131" t="e">
        <f t="shared" si="1"/>
        <v>#REF!</v>
      </c>
    </row>
    <row r="45" spans="2:5" ht="12.75" customHeight="1">
      <c r="B45" s="123" t="s">
        <v>21</v>
      </c>
      <c r="C45" s="124" t="s">
        <v>23</v>
      </c>
      <c r="D45" s="120" t="s">
        <v>182</v>
      </c>
      <c r="E45" s="154" t="s">
        <v>234</v>
      </c>
    </row>
    <row r="46" spans="2:5" ht="12.75" customHeight="1">
      <c r="B46" s="29">
        <v>400</v>
      </c>
      <c r="C46" s="11" t="s">
        <v>83</v>
      </c>
      <c r="D46" s="94">
        <f>D48+D47</f>
        <v>321527</v>
      </c>
      <c r="E46" s="73">
        <f aca="true" t="shared" si="2" ref="E46:E60">D46/39394696.33%</f>
        <v>0.8161682407871476</v>
      </c>
    </row>
    <row r="47" spans="2:5" ht="12.75" customHeight="1">
      <c r="B47" s="24">
        <v>40002</v>
      </c>
      <c r="C47" s="12" t="s">
        <v>99</v>
      </c>
      <c r="D47" s="104">
        <f>Wydatki!C19-42000</f>
        <v>316237</v>
      </c>
      <c r="E47" s="67">
        <f t="shared" si="2"/>
        <v>0.8027400372653158</v>
      </c>
    </row>
    <row r="48" spans="2:5" ht="12.75" customHeight="1">
      <c r="B48" s="30">
        <v>40095</v>
      </c>
      <c r="C48" s="40" t="s">
        <v>26</v>
      </c>
      <c r="D48" s="102">
        <f>Wydatki!C25</f>
        <v>5290</v>
      </c>
      <c r="E48" s="89">
        <f t="shared" si="2"/>
        <v>0.013428203521831793</v>
      </c>
    </row>
    <row r="49" spans="2:5" ht="12.75" customHeight="1">
      <c r="B49" s="11">
        <v>600</v>
      </c>
      <c r="C49" s="11" t="s">
        <v>4</v>
      </c>
      <c r="D49" s="94">
        <f>D50</f>
        <v>4343716.33</v>
      </c>
      <c r="E49" s="73">
        <f t="shared" si="2"/>
        <v>11.02614497549041</v>
      </c>
    </row>
    <row r="50" spans="2:5" ht="12.75" customHeight="1">
      <c r="B50" s="12">
        <v>60016</v>
      </c>
      <c r="C50" s="12" t="s">
        <v>28</v>
      </c>
      <c r="D50" s="95">
        <f>Wydatki!C37-840000</f>
        <v>4343716.33</v>
      </c>
      <c r="E50" s="89">
        <f t="shared" si="2"/>
        <v>11.02614497549041</v>
      </c>
    </row>
    <row r="51" spans="2:5" ht="12.75" customHeight="1">
      <c r="B51" s="29">
        <v>700</v>
      </c>
      <c r="C51" s="11" t="s">
        <v>6</v>
      </c>
      <c r="D51" s="97">
        <f>D53+D52</f>
        <v>748972.3999999999</v>
      </c>
      <c r="E51" s="73">
        <f t="shared" si="2"/>
        <v>1.9012011000821945</v>
      </c>
    </row>
    <row r="52" spans="2:5" ht="12.75" customHeight="1">
      <c r="B52" s="24">
        <v>70004</v>
      </c>
      <c r="C52" s="28" t="s">
        <v>116</v>
      </c>
      <c r="D52" s="98">
        <f>Wydatki!C55</f>
        <v>69880</v>
      </c>
      <c r="E52" s="67">
        <f t="shared" si="2"/>
        <v>0.17738428395191033</v>
      </c>
    </row>
    <row r="53" spans="2:5" ht="12.75" customHeight="1">
      <c r="B53" s="24">
        <v>70005</v>
      </c>
      <c r="C53" s="12" t="s">
        <v>30</v>
      </c>
      <c r="D53" s="98">
        <f>Wydatki!C57-210000</f>
        <v>679092.3999999999</v>
      </c>
      <c r="E53" s="67">
        <f t="shared" si="2"/>
        <v>1.7238168161302843</v>
      </c>
    </row>
    <row r="54" spans="2:5" ht="12.75" customHeight="1">
      <c r="B54" s="29">
        <v>900</v>
      </c>
      <c r="C54" s="11" t="s">
        <v>10</v>
      </c>
      <c r="D54" s="93">
        <f>D55+D56+D57+D58+D59</f>
        <v>1936789</v>
      </c>
      <c r="E54" s="73">
        <f t="shared" si="2"/>
        <v>4.916369918874305</v>
      </c>
    </row>
    <row r="55" spans="2:5" ht="12.75" customHeight="1">
      <c r="B55" s="24">
        <v>90001</v>
      </c>
      <c r="C55" s="12" t="s">
        <v>55</v>
      </c>
      <c r="D55" s="111">
        <f>Wydatki!C205-60000</f>
        <v>602804</v>
      </c>
      <c r="E55" s="67">
        <f t="shared" si="2"/>
        <v>1.5301653678212273</v>
      </c>
    </row>
    <row r="56" spans="2:5" ht="12.75" customHeight="1">
      <c r="B56" s="24">
        <v>90003</v>
      </c>
      <c r="C56" s="12" t="s">
        <v>57</v>
      </c>
      <c r="D56" s="111">
        <f>Wydatki!C209</f>
        <v>465100</v>
      </c>
      <c r="E56" s="67">
        <f t="shared" si="2"/>
        <v>1.1806157765602963</v>
      </c>
    </row>
    <row r="57" spans="2:5" ht="12.75" customHeight="1">
      <c r="B57" s="24">
        <v>90004</v>
      </c>
      <c r="C57" s="12" t="s">
        <v>58</v>
      </c>
      <c r="D57" s="111">
        <f>Wydatki!C213</f>
        <v>70600</v>
      </c>
      <c r="E57" s="67">
        <f t="shared" si="2"/>
        <v>0.17921194114202732</v>
      </c>
    </row>
    <row r="58" spans="2:5" ht="12.75" customHeight="1">
      <c r="B58" s="24">
        <v>90015</v>
      </c>
      <c r="C58" s="12" t="s">
        <v>59</v>
      </c>
      <c r="D58" s="111">
        <f>Wydatki!C215-130000</f>
        <v>638865</v>
      </c>
      <c r="E58" s="67">
        <f t="shared" si="2"/>
        <v>1.621703070505684</v>
      </c>
    </row>
    <row r="59" spans="2:5" ht="12.75" customHeight="1">
      <c r="B59" s="30">
        <v>90095</v>
      </c>
      <c r="C59" s="40" t="s">
        <v>26</v>
      </c>
      <c r="D59" s="164">
        <f>Wydatki!C220</f>
        <v>159420</v>
      </c>
      <c r="E59" s="89">
        <f t="shared" si="2"/>
        <v>0.4046737628450708</v>
      </c>
    </row>
    <row r="60" spans="2:5" ht="12.75" customHeight="1">
      <c r="B60" s="161"/>
      <c r="C60" s="162" t="s">
        <v>12</v>
      </c>
      <c r="D60" s="163">
        <f>D46+D49+D51+D54</f>
        <v>7351004.73</v>
      </c>
      <c r="E60" s="131">
        <f t="shared" si="2"/>
        <v>18.65988423523406</v>
      </c>
    </row>
    <row r="61" s="38" customFormat="1" ht="12.75" customHeight="1"/>
    <row r="62" spans="2:5" ht="12.75" customHeight="1">
      <c r="B62" s="123" t="s">
        <v>21</v>
      </c>
      <c r="C62" s="124" t="s">
        <v>23</v>
      </c>
      <c r="D62" s="120" t="s">
        <v>182</v>
      </c>
      <c r="E62" s="154" t="s">
        <v>234</v>
      </c>
    </row>
    <row r="63" spans="2:5" ht="12.75" customHeight="1">
      <c r="B63" s="32">
        <v>750</v>
      </c>
      <c r="C63" s="47" t="s">
        <v>7</v>
      </c>
      <c r="D63" s="94">
        <f>D64+D65+D66+D67</f>
        <v>3672290.74</v>
      </c>
      <c r="E63" s="73">
        <f aca="true" t="shared" si="3" ref="E63:E68">D63/39394696.33%</f>
        <v>9.321789687723683</v>
      </c>
    </row>
    <row r="64" spans="2:5" ht="12.75" customHeight="1">
      <c r="B64" s="26">
        <v>75011</v>
      </c>
      <c r="C64" s="46" t="s">
        <v>33</v>
      </c>
      <c r="D64" s="95">
        <f>Wydatki!C68</f>
        <v>256950</v>
      </c>
      <c r="E64" s="67">
        <f t="shared" si="3"/>
        <v>0.6522451597230017</v>
      </c>
    </row>
    <row r="65" spans="2:5" s="38" customFormat="1" ht="12.75" customHeight="1">
      <c r="B65" s="26">
        <v>75022</v>
      </c>
      <c r="C65" s="46" t="s">
        <v>34</v>
      </c>
      <c r="D65" s="95">
        <f>Wydatki!C72</f>
        <v>176500</v>
      </c>
      <c r="E65" s="67">
        <f t="shared" si="3"/>
        <v>0.4480298528550683</v>
      </c>
    </row>
    <row r="66" spans="2:5" ht="12.75" customHeight="1">
      <c r="B66" s="26">
        <v>75023</v>
      </c>
      <c r="C66" s="46" t="s">
        <v>35</v>
      </c>
      <c r="D66" s="95">
        <f>Wydatki!C74-150000</f>
        <v>3114190.74</v>
      </c>
      <c r="E66" s="67">
        <f t="shared" si="3"/>
        <v>7.905101524106609</v>
      </c>
    </row>
    <row r="67" spans="2:5" ht="12.75" customHeight="1">
      <c r="B67" s="31">
        <v>75095</v>
      </c>
      <c r="C67" s="48" t="s">
        <v>26</v>
      </c>
      <c r="D67" s="96">
        <f>Wydatki!C83</f>
        <v>124650</v>
      </c>
      <c r="E67" s="89">
        <f t="shared" si="3"/>
        <v>0.31641315103900436</v>
      </c>
    </row>
    <row r="68" spans="2:5" ht="12.75" customHeight="1">
      <c r="B68" s="161"/>
      <c r="C68" s="162" t="s">
        <v>12</v>
      </c>
      <c r="D68" s="163">
        <f>D63</f>
        <v>3672290.74</v>
      </c>
      <c r="E68" s="131">
        <f t="shared" si="3"/>
        <v>9.321789687723683</v>
      </c>
    </row>
    <row r="70" spans="2:5" ht="12.75" customHeight="1">
      <c r="B70" s="123" t="s">
        <v>21</v>
      </c>
      <c r="C70" s="124" t="s">
        <v>23</v>
      </c>
      <c r="D70" s="120" t="s">
        <v>182</v>
      </c>
      <c r="E70" s="154" t="s">
        <v>234</v>
      </c>
    </row>
    <row r="71" spans="2:5" ht="12.75" customHeight="1">
      <c r="B71" s="18" t="s">
        <v>66</v>
      </c>
      <c r="C71" s="11" t="s">
        <v>22</v>
      </c>
      <c r="D71" s="94">
        <f>D72</f>
        <v>6400</v>
      </c>
      <c r="E71" s="73">
        <f aca="true" t="shared" si="4" ref="E71:E91">D71/39394696.33%</f>
        <v>0.016245841689928823</v>
      </c>
    </row>
    <row r="72" spans="2:5" ht="12.75" customHeight="1">
      <c r="B72" s="20" t="s">
        <v>67</v>
      </c>
      <c r="C72" s="40" t="s">
        <v>24</v>
      </c>
      <c r="D72" s="96">
        <f>Wydatki!C5</f>
        <v>6400</v>
      </c>
      <c r="E72" s="89">
        <f t="shared" si="4"/>
        <v>0.016245841689928823</v>
      </c>
    </row>
    <row r="73" spans="2:5" ht="12.75" customHeight="1">
      <c r="B73" s="21" t="s">
        <v>68</v>
      </c>
      <c r="C73" s="49" t="s">
        <v>3</v>
      </c>
      <c r="D73" s="103">
        <f>D74</f>
        <v>46000</v>
      </c>
      <c r="E73" s="73">
        <f t="shared" si="4"/>
        <v>0.11676698714636341</v>
      </c>
    </row>
    <row r="74" spans="2:5" ht="12.75" customHeight="1">
      <c r="B74" s="22" t="s">
        <v>69</v>
      </c>
      <c r="C74" s="50" t="s">
        <v>25</v>
      </c>
      <c r="D74" s="95">
        <f>Wydatki!C12</f>
        <v>46000</v>
      </c>
      <c r="E74" s="67">
        <f t="shared" si="4"/>
        <v>0.11676698714636341</v>
      </c>
    </row>
    <row r="75" spans="2:5" ht="12.75" customHeight="1">
      <c r="B75" s="32">
        <v>500</v>
      </c>
      <c r="C75" s="55" t="s">
        <v>27</v>
      </c>
      <c r="D75" s="94">
        <f>D76</f>
        <v>26400</v>
      </c>
      <c r="E75" s="73">
        <f t="shared" si="4"/>
        <v>0.0670140969709564</v>
      </c>
    </row>
    <row r="76" spans="2:5" ht="12.75" customHeight="1">
      <c r="B76" s="31">
        <v>50095</v>
      </c>
      <c r="C76" s="56" t="s">
        <v>26</v>
      </c>
      <c r="D76" s="96">
        <f>Wydatki!C28</f>
        <v>26400</v>
      </c>
      <c r="E76" s="89">
        <f t="shared" si="4"/>
        <v>0.0670140969709564</v>
      </c>
    </row>
    <row r="77" spans="2:5" ht="12.75" customHeight="1">
      <c r="B77" s="29">
        <v>710</v>
      </c>
      <c r="C77" s="11" t="s">
        <v>31</v>
      </c>
      <c r="D77" s="158">
        <f>D79+D80+D78</f>
        <v>100000</v>
      </c>
      <c r="E77" s="73">
        <f t="shared" si="4"/>
        <v>0.2538412764051379</v>
      </c>
    </row>
    <row r="78" spans="2:5" ht="12.75" customHeight="1">
      <c r="B78" s="24">
        <v>71004</v>
      </c>
      <c r="C78" s="12" t="s">
        <v>125</v>
      </c>
      <c r="D78" s="155">
        <f>Wydatki!C61</f>
        <v>55000</v>
      </c>
      <c r="E78" s="67">
        <f t="shared" si="4"/>
        <v>0.13961270202282583</v>
      </c>
    </row>
    <row r="79" spans="2:5" ht="12.75" customHeight="1">
      <c r="B79" s="24">
        <v>71035</v>
      </c>
      <c r="C79" s="12" t="s">
        <v>32</v>
      </c>
      <c r="D79" s="155">
        <f>Wydatki!C63-50000</f>
        <v>4000</v>
      </c>
      <c r="E79" s="127">
        <f t="shared" si="4"/>
        <v>0.010153651056205514</v>
      </c>
    </row>
    <row r="80" spans="2:5" ht="12.75" customHeight="1">
      <c r="B80" s="30">
        <v>71095</v>
      </c>
      <c r="C80" s="40" t="s">
        <v>26</v>
      </c>
      <c r="D80" s="159">
        <f>Wydatki!C65</f>
        <v>41000</v>
      </c>
      <c r="E80" s="89">
        <f t="shared" si="4"/>
        <v>0.10407492332610652</v>
      </c>
    </row>
    <row r="81" spans="2:5" ht="12.75" customHeight="1">
      <c r="B81" s="29">
        <v>751</v>
      </c>
      <c r="C81" s="42" t="s">
        <v>168</v>
      </c>
      <c r="D81" s="97">
        <f>D82</f>
        <v>2946</v>
      </c>
      <c r="E81" s="73">
        <f t="shared" si="4"/>
        <v>0.007478164002895361</v>
      </c>
    </row>
    <row r="82" spans="2:5" ht="12.75" customHeight="1">
      <c r="B82" s="30">
        <v>75101</v>
      </c>
      <c r="C82" s="40" t="s">
        <v>168</v>
      </c>
      <c r="D82" s="99">
        <f>Wydatki!C89</f>
        <v>2946</v>
      </c>
      <c r="E82" s="89">
        <f t="shared" si="4"/>
        <v>0.007478164002895361</v>
      </c>
    </row>
    <row r="83" spans="2:5" ht="12.75" customHeight="1">
      <c r="B83" s="149">
        <v>754</v>
      </c>
      <c r="C83" s="27" t="s">
        <v>37</v>
      </c>
      <c r="D83" s="150">
        <f>D84</f>
        <v>149692.9</v>
      </c>
      <c r="E83" s="73">
        <f t="shared" si="4"/>
        <v>0.3799823680478666</v>
      </c>
    </row>
    <row r="84" spans="2:5" ht="12.75" customHeight="1">
      <c r="B84" s="24">
        <v>75412</v>
      </c>
      <c r="C84" s="12" t="s">
        <v>38</v>
      </c>
      <c r="D84" s="98">
        <f>Wydatki!C100-5000</f>
        <v>149692.9</v>
      </c>
      <c r="E84" s="89">
        <f t="shared" si="4"/>
        <v>0.3799823680478666</v>
      </c>
    </row>
    <row r="85" spans="2:5" ht="12.75" customHeight="1">
      <c r="B85" s="29">
        <v>756</v>
      </c>
      <c r="C85" s="11" t="s">
        <v>211</v>
      </c>
      <c r="D85" s="106">
        <f>D86</f>
        <v>60000</v>
      </c>
      <c r="E85" s="73">
        <f t="shared" si="4"/>
        <v>0.15230476584308272</v>
      </c>
    </row>
    <row r="86" spans="2:5" ht="12.75" customHeight="1">
      <c r="B86" s="30">
        <v>75647</v>
      </c>
      <c r="C86" s="40" t="s">
        <v>36</v>
      </c>
      <c r="D86" s="99">
        <f>Wydatki!C110</f>
        <v>60000</v>
      </c>
      <c r="E86" s="89">
        <f t="shared" si="4"/>
        <v>0.15230476584308272</v>
      </c>
    </row>
    <row r="87" spans="2:5" ht="12.75" customHeight="1">
      <c r="B87" s="25">
        <v>757</v>
      </c>
      <c r="C87" s="49" t="s">
        <v>39</v>
      </c>
      <c r="D87" s="103">
        <f>D88</f>
        <v>138212.01</v>
      </c>
      <c r="E87" s="73">
        <f t="shared" si="4"/>
        <v>0.3508391303291968</v>
      </c>
    </row>
    <row r="88" spans="2:5" ht="12.75" customHeight="1">
      <c r="B88" s="26">
        <v>75702</v>
      </c>
      <c r="C88" s="50" t="s">
        <v>85</v>
      </c>
      <c r="D88" s="95">
        <f>Wydatki!C115</f>
        <v>138212.01</v>
      </c>
      <c r="E88" s="89">
        <f t="shared" si="4"/>
        <v>0.3508391303291968</v>
      </c>
    </row>
    <row r="89" spans="2:5" ht="12.75" customHeight="1">
      <c r="B89" s="32">
        <v>758</v>
      </c>
      <c r="C89" s="55" t="s">
        <v>8</v>
      </c>
      <c r="D89" s="94">
        <f>D90</f>
        <v>40007</v>
      </c>
      <c r="E89" s="73">
        <f t="shared" si="4"/>
        <v>0.10155427945140351</v>
      </c>
    </row>
    <row r="90" spans="2:5" ht="12.75" customHeight="1">
      <c r="B90" s="26">
        <v>75818</v>
      </c>
      <c r="C90" s="50" t="s">
        <v>40</v>
      </c>
      <c r="D90" s="95">
        <f>Wydatki!C119</f>
        <v>40007</v>
      </c>
      <c r="E90" s="89">
        <f t="shared" si="4"/>
        <v>0.10155427945140351</v>
      </c>
    </row>
    <row r="91" spans="2:5" ht="12.75" customHeight="1">
      <c r="B91" s="161"/>
      <c r="C91" s="162" t="s">
        <v>12</v>
      </c>
      <c r="D91" s="163">
        <f>D71+D73+D75+D77+D81+D83+D85+D87+D89</f>
        <v>569657.91</v>
      </c>
      <c r="E91" s="131">
        <f t="shared" si="4"/>
        <v>1.4460269098868315</v>
      </c>
    </row>
    <row r="93" spans="2:5" ht="12.75" customHeight="1">
      <c r="B93" s="123" t="s">
        <v>21</v>
      </c>
      <c r="C93" s="124" t="s">
        <v>56</v>
      </c>
      <c r="D93" s="120" t="s">
        <v>182</v>
      </c>
      <c r="E93" s="180"/>
    </row>
    <row r="94" spans="2:5" ht="12.75" customHeight="1">
      <c r="B94" s="29">
        <v>400</v>
      </c>
      <c r="C94" s="11" t="s">
        <v>83</v>
      </c>
      <c r="D94" s="166">
        <f>D95</f>
        <v>42000</v>
      </c>
      <c r="E94" s="73">
        <f aca="true" t="shared" si="5" ref="E94:E125">D94/39394696.33%</f>
        <v>0.1066133360901579</v>
      </c>
    </row>
    <row r="95" spans="2:5" ht="12.75" customHeight="1">
      <c r="B95" s="24">
        <v>40002</v>
      </c>
      <c r="C95" s="12" t="s">
        <v>99</v>
      </c>
      <c r="D95" s="167">
        <f>D96</f>
        <v>42000</v>
      </c>
      <c r="E95" s="67">
        <f t="shared" si="5"/>
        <v>0.1066133360901579</v>
      </c>
    </row>
    <row r="96" spans="2:5" ht="12.75" customHeight="1">
      <c r="B96" s="24"/>
      <c r="C96" s="12" t="s">
        <v>56</v>
      </c>
      <c r="D96" s="167">
        <f>D97</f>
        <v>42000</v>
      </c>
      <c r="E96" s="67">
        <f t="shared" si="5"/>
        <v>0.1066133360901579</v>
      </c>
    </row>
    <row r="97" spans="2:5" ht="12.75" customHeight="1">
      <c r="B97" s="30"/>
      <c r="C97" s="40" t="s">
        <v>156</v>
      </c>
      <c r="D97" s="168">
        <v>42000</v>
      </c>
      <c r="E97" s="89">
        <f t="shared" si="5"/>
        <v>0.1066133360901579</v>
      </c>
    </row>
    <row r="98" spans="2:5" ht="12.75" customHeight="1">
      <c r="B98" s="11">
        <v>600</v>
      </c>
      <c r="C98" s="11" t="s">
        <v>4</v>
      </c>
      <c r="D98" s="166">
        <f>D99+D102</f>
        <v>890000</v>
      </c>
      <c r="E98" s="73">
        <f t="shared" si="5"/>
        <v>2.259187360005727</v>
      </c>
    </row>
    <row r="99" spans="2:5" ht="12.75" customHeight="1">
      <c r="B99" s="83">
        <v>60013</v>
      </c>
      <c r="C99" s="83" t="s">
        <v>197</v>
      </c>
      <c r="D99" s="169">
        <f>D100</f>
        <v>50000</v>
      </c>
      <c r="E99" s="67">
        <f t="shared" si="5"/>
        <v>0.12692063820256894</v>
      </c>
    </row>
    <row r="100" spans="2:5" ht="12.75" customHeight="1">
      <c r="B100" s="141"/>
      <c r="C100" s="83" t="s">
        <v>227</v>
      </c>
      <c r="D100" s="169">
        <v>50000</v>
      </c>
      <c r="E100" s="67">
        <f t="shared" si="5"/>
        <v>0.12692063820256894</v>
      </c>
    </row>
    <row r="101" spans="2:5" ht="12.75" customHeight="1">
      <c r="B101" s="141"/>
      <c r="C101" s="83" t="s">
        <v>232</v>
      </c>
      <c r="D101" s="169">
        <v>50000</v>
      </c>
      <c r="E101" s="67">
        <f t="shared" si="5"/>
        <v>0.12692063820256894</v>
      </c>
    </row>
    <row r="102" spans="2:5" ht="12.75" customHeight="1">
      <c r="B102" s="12">
        <v>60016</v>
      </c>
      <c r="C102" s="12" t="s">
        <v>28</v>
      </c>
      <c r="D102" s="170">
        <f>D103</f>
        <v>840000</v>
      </c>
      <c r="E102" s="67">
        <f t="shared" si="5"/>
        <v>2.132266721803158</v>
      </c>
    </row>
    <row r="103" spans="2:5" ht="12.75" customHeight="1">
      <c r="B103" s="12"/>
      <c r="C103" s="12" t="s">
        <v>56</v>
      </c>
      <c r="D103" s="167">
        <f>D104+D107+D113+D112+D110+D111+D105+D106+D108+D109</f>
        <v>840000</v>
      </c>
      <c r="E103" s="67">
        <f t="shared" si="5"/>
        <v>2.132266721803158</v>
      </c>
    </row>
    <row r="104" spans="2:5" ht="12.75" customHeight="1">
      <c r="B104" s="83"/>
      <c r="C104" s="83" t="s">
        <v>109</v>
      </c>
      <c r="D104" s="171">
        <v>50000</v>
      </c>
      <c r="E104" s="67">
        <f t="shared" si="5"/>
        <v>0.12692063820256894</v>
      </c>
    </row>
    <row r="105" spans="2:5" ht="12.75" customHeight="1">
      <c r="B105" s="83"/>
      <c r="C105" s="14" t="s">
        <v>235</v>
      </c>
      <c r="D105" s="171">
        <f>80000+100000</f>
        <v>180000</v>
      </c>
      <c r="E105" s="67">
        <f t="shared" si="5"/>
        <v>0.4569142975292481</v>
      </c>
    </row>
    <row r="106" spans="2:5" ht="12.75" customHeight="1">
      <c r="B106" s="83"/>
      <c r="C106" s="14" t="s">
        <v>221</v>
      </c>
      <c r="D106" s="171">
        <f>100000+15000+30000</f>
        <v>145000</v>
      </c>
      <c r="E106" s="67">
        <f t="shared" si="5"/>
        <v>0.3680698507874499</v>
      </c>
    </row>
    <row r="107" spans="2:5" ht="12.75" customHeight="1">
      <c r="B107" s="83"/>
      <c r="C107" s="83" t="s">
        <v>162</v>
      </c>
      <c r="D107" s="171">
        <v>100000</v>
      </c>
      <c r="E107" s="67">
        <f t="shared" si="5"/>
        <v>0.2538412764051379</v>
      </c>
    </row>
    <row r="108" spans="2:5" ht="12.75" customHeight="1">
      <c r="B108" s="81"/>
      <c r="C108" s="83" t="s">
        <v>233</v>
      </c>
      <c r="D108" s="171">
        <v>50000</v>
      </c>
      <c r="E108" s="67">
        <f t="shared" si="5"/>
        <v>0.12692063820256894</v>
      </c>
    </row>
    <row r="109" spans="2:5" ht="12.75" customHeight="1">
      <c r="B109" s="81"/>
      <c r="C109" s="83" t="s">
        <v>224</v>
      </c>
      <c r="D109" s="171">
        <v>50000</v>
      </c>
      <c r="E109" s="67">
        <f t="shared" si="5"/>
        <v>0.12692063820256894</v>
      </c>
    </row>
    <row r="110" spans="2:5" ht="12.75" customHeight="1">
      <c r="B110" s="24"/>
      <c r="C110" s="28" t="s">
        <v>199</v>
      </c>
      <c r="D110" s="167">
        <v>50000</v>
      </c>
      <c r="E110" s="67">
        <f t="shared" si="5"/>
        <v>0.12692063820256894</v>
      </c>
    </row>
    <row r="111" spans="2:5" ht="12.75" customHeight="1">
      <c r="B111" s="24"/>
      <c r="C111" s="28" t="s">
        <v>198</v>
      </c>
      <c r="D111" s="167">
        <v>40000</v>
      </c>
      <c r="E111" s="67">
        <f t="shared" si="5"/>
        <v>0.10153651056205515</v>
      </c>
    </row>
    <row r="112" spans="2:5" ht="12.75" customHeight="1">
      <c r="B112" s="24"/>
      <c r="C112" s="28" t="s">
        <v>163</v>
      </c>
      <c r="D112" s="167">
        <f>50000+25000</f>
        <v>75000</v>
      </c>
      <c r="E112" s="67">
        <f t="shared" si="5"/>
        <v>0.1903809573038534</v>
      </c>
    </row>
    <row r="113" spans="2:5" ht="12.75" customHeight="1">
      <c r="B113" s="12"/>
      <c r="C113" s="12" t="s">
        <v>110</v>
      </c>
      <c r="D113" s="167">
        <v>100000</v>
      </c>
      <c r="E113" s="89">
        <f t="shared" si="5"/>
        <v>0.2538412764051379</v>
      </c>
    </row>
    <row r="114" spans="2:5" ht="12.75" customHeight="1">
      <c r="B114" s="29">
        <v>700</v>
      </c>
      <c r="C114" s="11" t="s">
        <v>6</v>
      </c>
      <c r="D114" s="158">
        <f>D115</f>
        <v>210000</v>
      </c>
      <c r="E114" s="73">
        <f t="shared" si="5"/>
        <v>0.5330666804507895</v>
      </c>
    </row>
    <row r="115" spans="2:5" ht="12.75" customHeight="1">
      <c r="B115" s="24">
        <v>70005</v>
      </c>
      <c r="C115" s="12" t="s">
        <v>30</v>
      </c>
      <c r="D115" s="155">
        <f>D116</f>
        <v>210000</v>
      </c>
      <c r="E115" s="67">
        <f t="shared" si="5"/>
        <v>0.5330666804507895</v>
      </c>
    </row>
    <row r="116" spans="2:5" ht="12.75" customHeight="1">
      <c r="B116" s="24"/>
      <c r="C116" s="83" t="s">
        <v>56</v>
      </c>
      <c r="D116" s="157">
        <f>D117+D118+D119</f>
        <v>210000</v>
      </c>
      <c r="E116" s="67">
        <f t="shared" si="5"/>
        <v>0.5330666804507895</v>
      </c>
    </row>
    <row r="117" spans="2:5" ht="12.75" customHeight="1">
      <c r="B117" s="24"/>
      <c r="C117" s="83" t="s">
        <v>230</v>
      </c>
      <c r="D117" s="157">
        <v>30000</v>
      </c>
      <c r="E117" s="67">
        <f t="shared" si="5"/>
        <v>0.07615238292154136</v>
      </c>
    </row>
    <row r="118" spans="2:5" ht="12.75" customHeight="1">
      <c r="B118" s="24"/>
      <c r="C118" s="12" t="s">
        <v>222</v>
      </c>
      <c r="D118" s="156">
        <v>80000</v>
      </c>
      <c r="E118" s="67">
        <f t="shared" si="5"/>
        <v>0.2030730211241103</v>
      </c>
    </row>
    <row r="119" spans="2:5" ht="12.75" customHeight="1">
      <c r="B119" s="24"/>
      <c r="C119" s="12" t="s">
        <v>231</v>
      </c>
      <c r="D119" s="156">
        <v>100000</v>
      </c>
      <c r="E119" s="89">
        <f t="shared" si="5"/>
        <v>0.2538412764051379</v>
      </c>
    </row>
    <row r="120" spans="2:5" ht="12.75" customHeight="1">
      <c r="B120" s="29">
        <v>710</v>
      </c>
      <c r="C120" s="11" t="s">
        <v>31</v>
      </c>
      <c r="D120" s="158">
        <f>D121</f>
        <v>50000</v>
      </c>
      <c r="E120" s="73">
        <f t="shared" si="5"/>
        <v>0.12692063820256894</v>
      </c>
    </row>
    <row r="121" spans="2:5" ht="12.75" customHeight="1">
      <c r="B121" s="24">
        <v>71035</v>
      </c>
      <c r="C121" s="12" t="s">
        <v>32</v>
      </c>
      <c r="D121" s="155">
        <f>D122</f>
        <v>50000</v>
      </c>
      <c r="E121" s="67">
        <f t="shared" si="5"/>
        <v>0.12692063820256894</v>
      </c>
    </row>
    <row r="122" spans="2:5" ht="12.75" customHeight="1">
      <c r="B122" s="24"/>
      <c r="C122" s="12" t="s">
        <v>56</v>
      </c>
      <c r="D122" s="156">
        <f>D123</f>
        <v>50000</v>
      </c>
      <c r="E122" s="67">
        <f t="shared" si="5"/>
        <v>0.12692063820256894</v>
      </c>
    </row>
    <row r="123" spans="2:5" ht="12.75" customHeight="1">
      <c r="B123" s="30"/>
      <c r="C123" s="40" t="s">
        <v>111</v>
      </c>
      <c r="D123" s="172">
        <v>50000</v>
      </c>
      <c r="E123" s="89">
        <f t="shared" si="5"/>
        <v>0.12692063820256894</v>
      </c>
    </row>
    <row r="124" spans="2:5" ht="12.75" customHeight="1">
      <c r="B124" s="25">
        <v>750</v>
      </c>
      <c r="C124" s="45" t="s">
        <v>7</v>
      </c>
      <c r="D124" s="173">
        <f>D125</f>
        <v>150000</v>
      </c>
      <c r="E124" s="73">
        <f t="shared" si="5"/>
        <v>0.3807619146077068</v>
      </c>
    </row>
    <row r="125" spans="2:5" ht="12.75" customHeight="1">
      <c r="B125" s="26">
        <v>75023</v>
      </c>
      <c r="C125" s="46" t="s">
        <v>35</v>
      </c>
      <c r="D125" s="170">
        <f>D126</f>
        <v>150000</v>
      </c>
      <c r="E125" s="67">
        <f t="shared" si="5"/>
        <v>0.3807619146077068</v>
      </c>
    </row>
    <row r="126" spans="2:5" ht="12.75" customHeight="1">
      <c r="B126" s="26"/>
      <c r="C126" s="46" t="s">
        <v>56</v>
      </c>
      <c r="D126" s="167">
        <f>D127+D128</f>
        <v>150000</v>
      </c>
      <c r="E126" s="67">
        <f aca="true" t="shared" si="6" ref="E126:E157">D126/39394696.33%</f>
        <v>0.3807619146077068</v>
      </c>
    </row>
    <row r="127" spans="2:5" ht="12.75" customHeight="1">
      <c r="B127" s="26"/>
      <c r="C127" s="46" t="s">
        <v>157</v>
      </c>
      <c r="D127" s="167">
        <v>50000</v>
      </c>
      <c r="E127" s="67">
        <f t="shared" si="6"/>
        <v>0.12692063820256894</v>
      </c>
    </row>
    <row r="128" spans="2:5" ht="12.75" customHeight="1">
      <c r="B128" s="26"/>
      <c r="C128" s="46" t="s">
        <v>158</v>
      </c>
      <c r="D128" s="167">
        <v>100000</v>
      </c>
      <c r="E128" s="89">
        <f t="shared" si="6"/>
        <v>0.2538412764051379</v>
      </c>
    </row>
    <row r="129" spans="2:5" ht="12.75" customHeight="1">
      <c r="B129" s="29">
        <v>754</v>
      </c>
      <c r="C129" s="11" t="s">
        <v>37</v>
      </c>
      <c r="D129" s="158">
        <f>D130</f>
        <v>5000</v>
      </c>
      <c r="E129" s="73">
        <f t="shared" si="6"/>
        <v>0.012692063820256894</v>
      </c>
    </row>
    <row r="130" spans="2:5" ht="12.75" customHeight="1">
      <c r="B130" s="24">
        <v>75412</v>
      </c>
      <c r="C130" s="12" t="s">
        <v>38</v>
      </c>
      <c r="D130" s="155">
        <f>D131</f>
        <v>5000</v>
      </c>
      <c r="E130" s="67">
        <f t="shared" si="6"/>
        <v>0.012692063820256894</v>
      </c>
    </row>
    <row r="131" spans="2:5" ht="12.75" customHeight="1">
      <c r="B131" s="24"/>
      <c r="C131" s="12" t="s">
        <v>56</v>
      </c>
      <c r="D131" s="156">
        <f>D132</f>
        <v>5000</v>
      </c>
      <c r="E131" s="67">
        <f t="shared" si="6"/>
        <v>0.012692063820256894</v>
      </c>
    </row>
    <row r="132" spans="2:5" ht="12.75" customHeight="1">
      <c r="B132" s="30"/>
      <c r="C132" s="40" t="s">
        <v>157</v>
      </c>
      <c r="D132" s="172">
        <v>5000</v>
      </c>
      <c r="E132" s="89">
        <f t="shared" si="6"/>
        <v>0.012692063820256894</v>
      </c>
    </row>
    <row r="133" spans="2:5" ht="12.75" customHeight="1">
      <c r="B133" s="29">
        <v>801</v>
      </c>
      <c r="C133" s="11" t="s">
        <v>9</v>
      </c>
      <c r="D133" s="158">
        <f>D134</f>
        <v>502653.8</v>
      </c>
      <c r="E133" s="73">
        <f t="shared" si="6"/>
        <v>1.2759428218189288</v>
      </c>
    </row>
    <row r="134" spans="2:5" ht="12.75" customHeight="1">
      <c r="B134" s="24">
        <v>80101</v>
      </c>
      <c r="C134" s="12" t="s">
        <v>42</v>
      </c>
      <c r="D134" s="155">
        <f>D135</f>
        <v>502653.8</v>
      </c>
      <c r="E134" s="67">
        <f t="shared" si="6"/>
        <v>1.2759428218189288</v>
      </c>
    </row>
    <row r="135" spans="2:5" ht="12.75" customHeight="1">
      <c r="B135" s="81"/>
      <c r="C135" s="83" t="s">
        <v>56</v>
      </c>
      <c r="D135" s="157">
        <f>D138+D139+D136+D137+D140</f>
        <v>502653.8</v>
      </c>
      <c r="E135" s="67">
        <f t="shared" si="6"/>
        <v>1.2759428218189288</v>
      </c>
    </row>
    <row r="136" spans="2:5" ht="12.75" customHeight="1">
      <c r="B136" s="81"/>
      <c r="C136" s="12" t="s">
        <v>179</v>
      </c>
      <c r="D136" s="157">
        <v>17000</v>
      </c>
      <c r="E136" s="67">
        <f t="shared" si="6"/>
        <v>0.04315301698887344</v>
      </c>
    </row>
    <row r="137" spans="2:5" ht="12.75" customHeight="1">
      <c r="B137" s="81"/>
      <c r="C137" s="12" t="s">
        <v>225</v>
      </c>
      <c r="D137" s="157">
        <v>5000</v>
      </c>
      <c r="E137" s="67">
        <f t="shared" si="6"/>
        <v>0.012692063820256894</v>
      </c>
    </row>
    <row r="138" spans="2:5" ht="12.75" customHeight="1">
      <c r="B138" s="81"/>
      <c r="C138" s="83" t="s">
        <v>215</v>
      </c>
      <c r="D138" s="157">
        <v>70000</v>
      </c>
      <c r="E138" s="67">
        <f t="shared" si="6"/>
        <v>0.1776888934835965</v>
      </c>
    </row>
    <row r="139" spans="2:5" ht="12.75" customHeight="1">
      <c r="B139" s="24"/>
      <c r="C139" s="12" t="s">
        <v>180</v>
      </c>
      <c r="D139" s="156">
        <v>410653.8</v>
      </c>
      <c r="E139" s="67">
        <f t="shared" si="6"/>
        <v>1.0424088475262019</v>
      </c>
    </row>
    <row r="140" spans="2:5" ht="12.75" customHeight="1">
      <c r="B140" s="30"/>
      <c r="C140" s="40"/>
      <c r="D140" s="172"/>
      <c r="E140" s="89">
        <f t="shared" si="6"/>
        <v>0</v>
      </c>
    </row>
    <row r="141" spans="2:5" ht="12.75" customHeight="1">
      <c r="B141" s="29">
        <v>900</v>
      </c>
      <c r="C141" s="11" t="s">
        <v>10</v>
      </c>
      <c r="D141" s="174">
        <f>D142+D145+D148</f>
        <v>4016664.5300000003</v>
      </c>
      <c r="E141" s="73">
        <f t="shared" si="6"/>
        <v>10.195952511864432</v>
      </c>
    </row>
    <row r="142" spans="2:5" ht="12.75" customHeight="1">
      <c r="B142" s="24">
        <v>90001</v>
      </c>
      <c r="C142" s="12" t="s">
        <v>55</v>
      </c>
      <c r="D142" s="175">
        <f>D143</f>
        <v>60000</v>
      </c>
      <c r="E142" s="67">
        <f t="shared" si="6"/>
        <v>0.15230476584308272</v>
      </c>
    </row>
    <row r="143" spans="2:5" ht="12.75" customHeight="1">
      <c r="B143" s="24"/>
      <c r="C143" s="12" t="s">
        <v>56</v>
      </c>
      <c r="D143" s="167">
        <f>D144</f>
        <v>60000</v>
      </c>
      <c r="E143" s="67">
        <f t="shared" si="6"/>
        <v>0.15230476584308272</v>
      </c>
    </row>
    <row r="144" spans="2:5" ht="12.75" customHeight="1">
      <c r="B144" s="24"/>
      <c r="C144" s="83" t="s">
        <v>228</v>
      </c>
      <c r="D144" s="171">
        <v>60000</v>
      </c>
      <c r="E144" s="67">
        <f t="shared" si="6"/>
        <v>0.15230476584308272</v>
      </c>
    </row>
    <row r="145" spans="2:5" ht="12.75" customHeight="1">
      <c r="B145" s="33">
        <v>90002</v>
      </c>
      <c r="C145" s="28" t="s">
        <v>151</v>
      </c>
      <c r="D145" s="167">
        <f>D146</f>
        <v>3826664.5300000003</v>
      </c>
      <c r="E145" s="67">
        <f t="shared" si="6"/>
        <v>9.713654086694671</v>
      </c>
    </row>
    <row r="146" spans="2:5" ht="12.75" customHeight="1">
      <c r="B146" s="34"/>
      <c r="C146" s="28" t="s">
        <v>56</v>
      </c>
      <c r="D146" s="167">
        <f>D147</f>
        <v>3826664.5300000003</v>
      </c>
      <c r="E146" s="67">
        <f t="shared" si="6"/>
        <v>9.713654086694671</v>
      </c>
    </row>
    <row r="147" spans="2:5" ht="12.75" customHeight="1">
      <c r="B147" s="60"/>
      <c r="C147" s="40" t="s">
        <v>178</v>
      </c>
      <c r="D147" s="168">
        <f>4186000-354335.47-5000</f>
        <v>3826664.5300000003</v>
      </c>
      <c r="E147" s="89">
        <f t="shared" si="6"/>
        <v>9.713654086694671</v>
      </c>
    </row>
    <row r="148" spans="2:5" ht="12.75" customHeight="1">
      <c r="B148" s="151">
        <v>90015</v>
      </c>
      <c r="C148" s="42" t="s">
        <v>59</v>
      </c>
      <c r="D148" s="176">
        <f>D149</f>
        <v>130000</v>
      </c>
      <c r="E148" s="73">
        <f t="shared" si="6"/>
        <v>0.32999365932667923</v>
      </c>
    </row>
    <row r="149" spans="2:5" ht="12.75" customHeight="1">
      <c r="B149" s="24"/>
      <c r="C149" s="12" t="s">
        <v>56</v>
      </c>
      <c r="D149" s="167">
        <f>D150+D151+D152+D153</f>
        <v>130000</v>
      </c>
      <c r="E149" s="67">
        <f t="shared" si="6"/>
        <v>0.32999365932667923</v>
      </c>
    </row>
    <row r="150" spans="2:5" ht="12.75" customHeight="1">
      <c r="B150" s="24"/>
      <c r="C150" s="12" t="s">
        <v>200</v>
      </c>
      <c r="D150" s="167">
        <f>30000+10000</f>
        <v>40000</v>
      </c>
      <c r="E150" s="67">
        <f t="shared" si="6"/>
        <v>0.10153651056205515</v>
      </c>
    </row>
    <row r="151" spans="2:5" ht="12.75" customHeight="1">
      <c r="B151" s="24"/>
      <c r="C151" s="12" t="s">
        <v>201</v>
      </c>
      <c r="D151" s="167">
        <v>30000</v>
      </c>
      <c r="E151" s="67">
        <f t="shared" si="6"/>
        <v>0.07615238292154136</v>
      </c>
    </row>
    <row r="152" spans="2:5" ht="12.75" customHeight="1">
      <c r="B152" s="24"/>
      <c r="C152" s="12" t="s">
        <v>202</v>
      </c>
      <c r="D152" s="167">
        <v>30000</v>
      </c>
      <c r="E152" s="67">
        <f t="shared" si="6"/>
        <v>0.07615238292154136</v>
      </c>
    </row>
    <row r="153" spans="2:5" ht="12.75" customHeight="1">
      <c r="B153" s="30"/>
      <c r="C153" s="40" t="s">
        <v>203</v>
      </c>
      <c r="D153" s="168">
        <v>30000</v>
      </c>
      <c r="E153" s="89">
        <f t="shared" si="6"/>
        <v>0.07615238292154136</v>
      </c>
    </row>
    <row r="154" spans="2:5" ht="12.75" customHeight="1">
      <c r="B154" s="29">
        <v>926</v>
      </c>
      <c r="C154" s="11" t="s">
        <v>62</v>
      </c>
      <c r="D154" s="177">
        <f>D155</f>
        <v>63000</v>
      </c>
      <c r="E154" s="73">
        <f t="shared" si="6"/>
        <v>0.15992000413523685</v>
      </c>
    </row>
    <row r="155" spans="2:5" ht="12.75" customHeight="1">
      <c r="B155" s="24">
        <v>92605</v>
      </c>
      <c r="C155" s="12" t="s">
        <v>108</v>
      </c>
      <c r="D155" s="178">
        <f>D156</f>
        <v>63000</v>
      </c>
      <c r="E155" s="67">
        <f t="shared" si="6"/>
        <v>0.15992000413523685</v>
      </c>
    </row>
    <row r="156" spans="2:5" ht="12.75" customHeight="1">
      <c r="B156" s="24"/>
      <c r="C156" s="12" t="s">
        <v>56</v>
      </c>
      <c r="D156" s="156">
        <f>D157</f>
        <v>63000</v>
      </c>
      <c r="E156" s="67">
        <f t="shared" si="6"/>
        <v>0.15992000413523685</v>
      </c>
    </row>
    <row r="157" spans="2:5" ht="12.75" customHeight="1">
      <c r="B157" s="24"/>
      <c r="C157" s="152" t="s">
        <v>223</v>
      </c>
      <c r="D157" s="157">
        <f>54000+9000</f>
        <v>63000</v>
      </c>
      <c r="E157" s="67">
        <f t="shared" si="6"/>
        <v>0.15992000413523685</v>
      </c>
    </row>
    <row r="158" spans="2:5" ht="12.75" customHeight="1">
      <c r="B158" s="132"/>
      <c r="C158" s="133" t="s">
        <v>12</v>
      </c>
      <c r="D158" s="179">
        <f>D154+D141+D133+D129+D124+D120+D114+D98+D94</f>
        <v>5929318.33</v>
      </c>
      <c r="E158" s="181">
        <f>D158/39394696.33%</f>
        <v>15.051057330995803</v>
      </c>
    </row>
    <row r="159" spans="2:4" ht="12.75" customHeight="1">
      <c r="B159" s="17"/>
      <c r="C159" s="17"/>
      <c r="D159" s="114"/>
    </row>
    <row r="161" ht="12.75" customHeight="1">
      <c r="D161" s="182" t="e">
        <f>D158+D91+D68+D60+D43+D28</f>
        <v>#REF!</v>
      </c>
    </row>
  </sheetData>
  <mergeCells count="2">
    <mergeCell ref="B1:D1"/>
    <mergeCell ref="B2:D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E500"/>
  <sheetViews>
    <sheetView showGridLines="0" workbookViewId="0" topLeftCell="A114">
      <selection activeCell="E160" sqref="E160"/>
    </sheetView>
  </sheetViews>
  <sheetFormatPr defaultColWidth="9.00390625" defaultRowHeight="12.75" customHeight="1"/>
  <cols>
    <col min="1" max="1" width="9.125" style="68" customWidth="1"/>
    <col min="2" max="2" width="7.125" style="68" customWidth="1"/>
    <col min="3" max="3" width="44.625" style="68" customWidth="1"/>
    <col min="4" max="4" width="16.00390625" style="68" customWidth="1"/>
    <col min="5" max="5" width="7.625" style="68" customWidth="1"/>
    <col min="6" max="16384" width="9.125" style="68" customWidth="1"/>
  </cols>
  <sheetData>
    <row r="1" spans="2:5" ht="12.75" customHeight="1">
      <c r="B1" s="540" t="s">
        <v>115</v>
      </c>
      <c r="C1" s="540"/>
      <c r="D1" s="540"/>
      <c r="E1" s="66"/>
    </row>
    <row r="2" spans="2:5" ht="12.75" customHeight="1">
      <c r="B2" s="539" t="s">
        <v>236</v>
      </c>
      <c r="C2" s="539"/>
      <c r="D2" s="539"/>
      <c r="E2" s="66"/>
    </row>
    <row r="4" spans="2:5" s="37" customFormat="1" ht="12.75" customHeight="1">
      <c r="B4" s="123" t="s">
        <v>21</v>
      </c>
      <c r="C4" s="124" t="s">
        <v>23</v>
      </c>
      <c r="D4" s="120" t="s">
        <v>182</v>
      </c>
      <c r="E4" s="154" t="s">
        <v>234</v>
      </c>
    </row>
    <row r="5" spans="2:5" s="38" customFormat="1" ht="12.75" customHeight="1">
      <c r="B5" s="29">
        <v>801</v>
      </c>
      <c r="C5" s="11" t="s">
        <v>9</v>
      </c>
      <c r="D5" s="158">
        <f>D6+D8+D9+D10+D12+D11+D7</f>
        <v>19568039.150000002</v>
      </c>
      <c r="E5" s="73">
        <f>D5/41721729.33%</f>
        <v>46.90131369010538</v>
      </c>
    </row>
    <row r="6" spans="2:5" ht="12.75" customHeight="1">
      <c r="B6" s="24">
        <v>80101</v>
      </c>
      <c r="C6" s="12" t="s">
        <v>42</v>
      </c>
      <c r="D6" s="155">
        <f>Wydatki!C121-502653.8</f>
        <v>9652801.42</v>
      </c>
      <c r="E6" s="73">
        <f aca="true" t="shared" si="0" ref="E6:E28">D6/41721729.33%</f>
        <v>23.13614889653952</v>
      </c>
    </row>
    <row r="7" spans="2:5" s="38" customFormat="1" ht="12.75" customHeight="1">
      <c r="B7" s="24">
        <v>80103</v>
      </c>
      <c r="C7" s="12" t="s">
        <v>167</v>
      </c>
      <c r="D7" s="156">
        <f>Wydatki!C126</f>
        <v>588892.12</v>
      </c>
      <c r="E7" s="73">
        <f t="shared" si="0"/>
        <v>1.4114758171746187</v>
      </c>
    </row>
    <row r="8" spans="2:5" ht="12.75" customHeight="1">
      <c r="B8" s="24">
        <v>80104</v>
      </c>
      <c r="C8" s="12" t="s">
        <v>164</v>
      </c>
      <c r="D8" s="155">
        <f>Wydatki!C130</f>
        <v>2749107.34</v>
      </c>
      <c r="E8" s="73">
        <f t="shared" si="0"/>
        <v>6.589150028407991</v>
      </c>
    </row>
    <row r="9" spans="2:5" s="38" customFormat="1" ht="12.75" customHeight="1">
      <c r="B9" s="24">
        <v>80110</v>
      </c>
      <c r="C9" s="12" t="s">
        <v>43</v>
      </c>
      <c r="D9" s="155">
        <f>Wydatki!C133</f>
        <v>3682149.01</v>
      </c>
      <c r="E9" s="73">
        <f t="shared" si="0"/>
        <v>8.825494698160442</v>
      </c>
    </row>
    <row r="10" spans="2:5" ht="12.75" customHeight="1">
      <c r="B10" s="24">
        <v>80113</v>
      </c>
      <c r="C10" s="12" t="s">
        <v>44</v>
      </c>
      <c r="D10" s="155">
        <f>Wydatki!C137</f>
        <v>432029</v>
      </c>
      <c r="E10" s="73">
        <f t="shared" si="0"/>
        <v>1.0355011811299721</v>
      </c>
    </row>
    <row r="11" spans="2:5" ht="12.75" customHeight="1">
      <c r="B11" s="81">
        <v>80146</v>
      </c>
      <c r="C11" s="83" t="s">
        <v>87</v>
      </c>
      <c r="D11" s="157">
        <f>Wydatki!C141</f>
        <v>75760</v>
      </c>
      <c r="E11" s="73">
        <f t="shared" si="0"/>
        <v>0.1815840359846369</v>
      </c>
    </row>
    <row r="12" spans="2:5" s="38" customFormat="1" ht="12.75" customHeight="1">
      <c r="B12" s="30">
        <v>80195</v>
      </c>
      <c r="C12" s="40" t="s">
        <v>78</v>
      </c>
      <c r="D12" s="159">
        <f>Wydatki!C149</f>
        <v>2387300.2600000002</v>
      </c>
      <c r="E12" s="73">
        <f t="shared" si="0"/>
        <v>5.721959032708198</v>
      </c>
    </row>
    <row r="13" spans="2:5" ht="12.75" customHeight="1">
      <c r="B13" s="29">
        <v>854</v>
      </c>
      <c r="C13" s="11" t="s">
        <v>53</v>
      </c>
      <c r="D13" s="112">
        <f>D14+D15+D16</f>
        <v>566188</v>
      </c>
      <c r="E13" s="73">
        <f t="shared" si="0"/>
        <v>1.357057842741151</v>
      </c>
    </row>
    <row r="14" spans="2:5" s="38" customFormat="1" ht="12.75" customHeight="1">
      <c r="B14" s="24">
        <v>85401</v>
      </c>
      <c r="C14" s="12" t="s">
        <v>54</v>
      </c>
      <c r="D14" s="113">
        <f>Wydatki!C196</f>
        <v>241752</v>
      </c>
      <c r="E14" s="73">
        <f t="shared" si="0"/>
        <v>0.5794390689989168</v>
      </c>
    </row>
    <row r="15" spans="2:5" s="38" customFormat="1" ht="12.75" customHeight="1">
      <c r="B15" s="24">
        <v>85415</v>
      </c>
      <c r="C15" s="12" t="s">
        <v>193</v>
      </c>
      <c r="D15" s="105">
        <f>Wydatki!C200</f>
        <v>322996</v>
      </c>
      <c r="E15" s="73">
        <f t="shared" si="0"/>
        <v>0.7741673348322833</v>
      </c>
    </row>
    <row r="16" spans="2:5" ht="12.75" customHeight="1">
      <c r="B16" s="140">
        <v>85446</v>
      </c>
      <c r="C16" s="152" t="s">
        <v>87</v>
      </c>
      <c r="D16" s="153">
        <f>Wydatki!C202</f>
        <v>1440</v>
      </c>
      <c r="E16" s="73">
        <f t="shared" si="0"/>
        <v>0.0034514389099508597</v>
      </c>
    </row>
    <row r="17" spans="2:5" s="38" customFormat="1" ht="12.75" customHeight="1">
      <c r="B17" s="32">
        <v>921</v>
      </c>
      <c r="C17" s="47" t="s">
        <v>11</v>
      </c>
      <c r="D17" s="93">
        <f>D18+D19+D20</f>
        <v>1406794</v>
      </c>
      <c r="E17" s="73">
        <f t="shared" si="0"/>
        <v>3.3718496874204233</v>
      </c>
    </row>
    <row r="18" spans="2:5" ht="12.75" customHeight="1">
      <c r="B18" s="26">
        <v>92109</v>
      </c>
      <c r="C18" s="46" t="s">
        <v>60</v>
      </c>
      <c r="D18" s="111">
        <f>Wydatki!C226</f>
        <v>681300</v>
      </c>
      <c r="E18" s="73">
        <f t="shared" si="0"/>
        <v>1.6329620342705005</v>
      </c>
    </row>
    <row r="19" spans="2:5" s="38" customFormat="1" ht="12.75" customHeight="1">
      <c r="B19" s="26">
        <v>92116</v>
      </c>
      <c r="C19" s="46" t="s">
        <v>61</v>
      </c>
      <c r="D19" s="95">
        <f>Wydatki!C229</f>
        <v>655494</v>
      </c>
      <c r="E19" s="73">
        <f t="shared" si="0"/>
        <v>1.5711093728050896</v>
      </c>
    </row>
    <row r="20" spans="2:5" ht="12.75" customHeight="1">
      <c r="B20" s="26">
        <v>92195</v>
      </c>
      <c r="C20" s="46" t="s">
        <v>26</v>
      </c>
      <c r="D20" s="95">
        <f>Wydatki!C233</f>
        <v>70000</v>
      </c>
      <c r="E20" s="73">
        <f t="shared" si="0"/>
        <v>0.16777828034483347</v>
      </c>
    </row>
    <row r="21" spans="2:5" ht="12.75" customHeight="1">
      <c r="B21" s="29">
        <v>926</v>
      </c>
      <c r="C21" s="11" t="s">
        <v>62</v>
      </c>
      <c r="D21" s="112">
        <f>D22</f>
        <v>1835258.43</v>
      </c>
      <c r="E21" s="73">
        <f t="shared" si="0"/>
        <v>4.398807191053699</v>
      </c>
    </row>
    <row r="22" spans="2:5" s="38" customFormat="1" ht="12.75" customHeight="1">
      <c r="B22" s="30">
        <v>92605</v>
      </c>
      <c r="C22" s="40" t="s">
        <v>108</v>
      </c>
      <c r="D22" s="160">
        <f>Wydatki!C236-63000</f>
        <v>1835258.43</v>
      </c>
      <c r="E22" s="73">
        <f t="shared" si="0"/>
        <v>4.398807191053699</v>
      </c>
    </row>
    <row r="23" spans="2:5" s="38" customFormat="1" ht="12.75" customHeight="1">
      <c r="B23" s="32">
        <v>851</v>
      </c>
      <c r="C23" s="55" t="s">
        <v>45</v>
      </c>
      <c r="D23" s="94">
        <f>D24+D25</f>
        <v>220794</v>
      </c>
      <c r="E23" s="73">
        <f t="shared" si="0"/>
        <v>0.5292062518636736</v>
      </c>
    </row>
    <row r="24" spans="2:5" ht="12.75" customHeight="1">
      <c r="B24" s="26">
        <v>85153</v>
      </c>
      <c r="C24" s="50" t="s">
        <v>216</v>
      </c>
      <c r="D24" s="95">
        <f>Wydatki!C156</f>
        <v>10000</v>
      </c>
      <c r="E24" s="73">
        <f t="shared" si="0"/>
        <v>0.023968325763547637</v>
      </c>
    </row>
    <row r="25" spans="2:5" ht="12.75" customHeight="1">
      <c r="B25" s="31">
        <v>85154</v>
      </c>
      <c r="C25" s="56" t="s">
        <v>46</v>
      </c>
      <c r="D25" s="96">
        <f>Wydatki!C158</f>
        <v>210794</v>
      </c>
      <c r="E25" s="73">
        <f t="shared" si="0"/>
        <v>0.5052379261001261</v>
      </c>
    </row>
    <row r="26" spans="2:5" s="38" customFormat="1" ht="12.75" customHeight="1">
      <c r="B26" s="11">
        <v>630</v>
      </c>
      <c r="C26" s="47" t="s">
        <v>5</v>
      </c>
      <c r="D26" s="94">
        <f>D27</f>
        <v>338300</v>
      </c>
      <c r="E26" s="73">
        <f t="shared" si="0"/>
        <v>0.8108484605808166</v>
      </c>
    </row>
    <row r="27" spans="2:5" ht="12.75" customHeight="1">
      <c r="B27" s="12">
        <v>63001</v>
      </c>
      <c r="C27" s="46" t="s">
        <v>29</v>
      </c>
      <c r="D27" s="95">
        <f>Wydatki!C45</f>
        <v>338300</v>
      </c>
      <c r="E27" s="73">
        <f t="shared" si="0"/>
        <v>0.8108484605808166</v>
      </c>
    </row>
    <row r="28" spans="2:5" ht="12.75" customHeight="1">
      <c r="B28" s="161"/>
      <c r="C28" s="162" t="s">
        <v>12</v>
      </c>
      <c r="D28" s="163">
        <f>D5+D13+D17+D21+D23+D26</f>
        <v>23935373.580000002</v>
      </c>
      <c r="E28" s="73">
        <f t="shared" si="0"/>
        <v>57.36908312376515</v>
      </c>
    </row>
    <row r="30" spans="2:5" ht="12.75" customHeight="1">
      <c r="B30" s="123" t="s">
        <v>21</v>
      </c>
      <c r="C30" s="124" t="s">
        <v>23</v>
      </c>
      <c r="D30" s="120" t="s">
        <v>182</v>
      </c>
      <c r="E30" s="154" t="s">
        <v>234</v>
      </c>
    </row>
    <row r="31" spans="2:5" s="38" customFormat="1" ht="12.75" customHeight="1">
      <c r="B31" s="11">
        <v>852</v>
      </c>
      <c r="C31" s="11" t="s">
        <v>98</v>
      </c>
      <c r="D31" s="93">
        <f>D33+D35+D36+D37+D38+D39+D40+D34+D32</f>
        <v>9383410.98</v>
      </c>
      <c r="E31" s="73">
        <f aca="true" t="shared" si="1" ref="E31:E43">D31/41721729.33%</f>
        <v>22.49046511418898</v>
      </c>
    </row>
    <row r="32" spans="2:5" ht="12.75" customHeight="1">
      <c r="B32" s="12">
        <v>85202</v>
      </c>
      <c r="C32" s="12" t="s">
        <v>166</v>
      </c>
      <c r="D32" s="95">
        <f>Wydatki!C164</f>
        <v>198432</v>
      </c>
      <c r="E32" s="73">
        <f t="shared" si="1"/>
        <v>0.4756082817912285</v>
      </c>
    </row>
    <row r="33" spans="2:5" s="38" customFormat="1" ht="12.75" customHeight="1">
      <c r="B33" s="83">
        <v>85203</v>
      </c>
      <c r="C33" s="83" t="s">
        <v>47</v>
      </c>
      <c r="D33" s="115">
        <f>Wydatki!C166</f>
        <v>446899.2</v>
      </c>
      <c r="E33" s="73">
        <f t="shared" si="1"/>
        <v>1.0711425609068828</v>
      </c>
    </row>
    <row r="34" spans="2:5" ht="15" customHeight="1">
      <c r="B34" s="88">
        <v>85212</v>
      </c>
      <c r="C34" s="12" t="s">
        <v>155</v>
      </c>
      <c r="D34" s="109">
        <f>Wydatki!C170</f>
        <v>5084829.09</v>
      </c>
      <c r="E34" s="73">
        <f t="shared" si="1"/>
        <v>12.187484008108349</v>
      </c>
    </row>
    <row r="35" spans="2:5" ht="12.75" customHeight="1">
      <c r="B35" s="12">
        <v>85213</v>
      </c>
      <c r="C35" s="12" t="s">
        <v>48</v>
      </c>
      <c r="D35" s="95">
        <f>Wydatki!C174</f>
        <v>26421</v>
      </c>
      <c r="E35" s="73">
        <f t="shared" si="1"/>
        <v>0.06332671349986921</v>
      </c>
    </row>
    <row r="36" spans="2:5" ht="12.75" customHeight="1">
      <c r="B36" s="12">
        <v>85214</v>
      </c>
      <c r="C36" s="12" t="s">
        <v>65</v>
      </c>
      <c r="D36" s="95">
        <f>Wydatki!C176</f>
        <v>1008760</v>
      </c>
      <c r="E36" s="73">
        <f t="shared" si="1"/>
        <v>2.4178288297236312</v>
      </c>
    </row>
    <row r="37" spans="2:5" s="38" customFormat="1" ht="12.75" customHeight="1">
      <c r="B37" s="12">
        <v>85215</v>
      </c>
      <c r="C37" s="12" t="s">
        <v>50</v>
      </c>
      <c r="D37" s="95">
        <f>Wydatki!C180</f>
        <v>829651.81</v>
      </c>
      <c r="E37" s="73">
        <f t="shared" si="1"/>
        <v>1.988536485239693</v>
      </c>
    </row>
    <row r="38" spans="2:5" ht="12.75" customHeight="1">
      <c r="B38" s="12">
        <v>85219</v>
      </c>
      <c r="C38" s="12" t="s">
        <v>51</v>
      </c>
      <c r="D38" s="95">
        <f>Wydatki!C182</f>
        <v>879150</v>
      </c>
      <c r="E38" s="73">
        <f t="shared" si="1"/>
        <v>2.1071753595022904</v>
      </c>
    </row>
    <row r="39" spans="2:5" s="38" customFormat="1" ht="12.75" customHeight="1">
      <c r="B39" s="24">
        <v>85228</v>
      </c>
      <c r="C39" s="12" t="s">
        <v>52</v>
      </c>
      <c r="D39" s="98">
        <f>Wydatki!C186</f>
        <v>247802</v>
      </c>
      <c r="E39" s="73">
        <f t="shared" si="1"/>
        <v>0.5939399060858631</v>
      </c>
    </row>
    <row r="40" spans="2:5" ht="12.75" customHeight="1">
      <c r="B40" s="24">
        <v>85295</v>
      </c>
      <c r="C40" s="12" t="s">
        <v>26</v>
      </c>
      <c r="D40" s="98">
        <f>Wydatki!C190</f>
        <v>661465.88</v>
      </c>
      <c r="E40" s="73">
        <f t="shared" si="1"/>
        <v>1.585422969331171</v>
      </c>
    </row>
    <row r="41" spans="2:5" s="38" customFormat="1" ht="12.75" customHeight="1">
      <c r="B41" s="29">
        <v>853</v>
      </c>
      <c r="C41" s="6" t="s">
        <v>209</v>
      </c>
      <c r="D41" s="106" t="e">
        <f>D42</f>
        <v>#REF!</v>
      </c>
      <c r="E41" s="73" t="e">
        <f t="shared" si="1"/>
        <v>#REF!</v>
      </c>
    </row>
    <row r="42" spans="2:5" s="38" customFormat="1" ht="12.75" customHeight="1">
      <c r="B42" s="24">
        <v>85395</v>
      </c>
      <c r="C42" s="12" t="s">
        <v>26</v>
      </c>
      <c r="D42" s="105" t="e">
        <f>Wydatki!#REF!</f>
        <v>#REF!</v>
      </c>
      <c r="E42" s="73" t="e">
        <f t="shared" si="1"/>
        <v>#REF!</v>
      </c>
    </row>
    <row r="43" spans="2:5" ht="12.75" customHeight="1">
      <c r="B43" s="161"/>
      <c r="C43" s="162" t="s">
        <v>12</v>
      </c>
      <c r="D43" s="163" t="e">
        <f>D31+D41</f>
        <v>#REF!</v>
      </c>
      <c r="E43" s="73" t="e">
        <f t="shared" si="1"/>
        <v>#REF!</v>
      </c>
    </row>
    <row r="45" spans="2:5" ht="12.75" customHeight="1">
      <c r="B45" s="123" t="s">
        <v>21</v>
      </c>
      <c r="C45" s="124" t="s">
        <v>23</v>
      </c>
      <c r="D45" s="120" t="s">
        <v>182</v>
      </c>
      <c r="E45" s="154" t="s">
        <v>234</v>
      </c>
    </row>
    <row r="46" spans="2:5" ht="12.75" customHeight="1">
      <c r="B46" s="29">
        <v>400</v>
      </c>
      <c r="C46" s="11" t="s">
        <v>83</v>
      </c>
      <c r="D46" s="94">
        <f>D48+D47</f>
        <v>321527</v>
      </c>
      <c r="E46" s="73">
        <f aca="true" t="shared" si="2" ref="E46:E60">D46/41721729.33%</f>
        <v>0.7706463877776181</v>
      </c>
    </row>
    <row r="47" spans="2:5" ht="12.75" customHeight="1">
      <c r="B47" s="24">
        <v>40002</v>
      </c>
      <c r="C47" s="12" t="s">
        <v>99</v>
      </c>
      <c r="D47" s="104">
        <f>Wydatki!C19-42000</f>
        <v>316237</v>
      </c>
      <c r="E47" s="73">
        <f t="shared" si="2"/>
        <v>0.7579671434487014</v>
      </c>
    </row>
    <row r="48" spans="2:5" ht="12.75" customHeight="1">
      <c r="B48" s="30">
        <v>40095</v>
      </c>
      <c r="C48" s="40" t="s">
        <v>26</v>
      </c>
      <c r="D48" s="102">
        <f>Wydatki!C25</f>
        <v>5290</v>
      </c>
      <c r="E48" s="73">
        <f t="shared" si="2"/>
        <v>0.0126792443289167</v>
      </c>
    </row>
    <row r="49" spans="2:5" ht="12.75" customHeight="1">
      <c r="B49" s="11">
        <v>600</v>
      </c>
      <c r="C49" s="11" t="s">
        <v>4</v>
      </c>
      <c r="D49" s="94">
        <f>D50</f>
        <v>4343716.33</v>
      </c>
      <c r="E49" s="73">
        <f t="shared" si="2"/>
        <v>10.411160802188158</v>
      </c>
    </row>
    <row r="50" spans="2:5" ht="12.75" customHeight="1">
      <c r="B50" s="12">
        <v>60016</v>
      </c>
      <c r="C50" s="12" t="s">
        <v>28</v>
      </c>
      <c r="D50" s="95">
        <f>Wydatki!C37-840000</f>
        <v>4343716.33</v>
      </c>
      <c r="E50" s="73">
        <f t="shared" si="2"/>
        <v>10.411160802188158</v>
      </c>
    </row>
    <row r="51" spans="2:5" ht="12.75" customHeight="1">
      <c r="B51" s="29">
        <v>700</v>
      </c>
      <c r="C51" s="11" t="s">
        <v>6</v>
      </c>
      <c r="D51" s="97">
        <f>D53+D52</f>
        <v>748972.3999999999</v>
      </c>
      <c r="E51" s="73">
        <f t="shared" si="2"/>
        <v>1.7951614471106103</v>
      </c>
    </row>
    <row r="52" spans="2:5" ht="12.75" customHeight="1">
      <c r="B52" s="24">
        <v>70004</v>
      </c>
      <c r="C52" s="28" t="s">
        <v>116</v>
      </c>
      <c r="D52" s="98">
        <f>Wydatki!C55</f>
        <v>69880</v>
      </c>
      <c r="E52" s="73">
        <f t="shared" si="2"/>
        <v>0.16749066043567087</v>
      </c>
    </row>
    <row r="53" spans="2:5" ht="12.75" customHeight="1">
      <c r="B53" s="24">
        <v>70005</v>
      </c>
      <c r="C53" s="12" t="s">
        <v>30</v>
      </c>
      <c r="D53" s="98">
        <f>Wydatki!C57-210000</f>
        <v>679092.3999999999</v>
      </c>
      <c r="E53" s="73">
        <f t="shared" si="2"/>
        <v>1.6276707866749396</v>
      </c>
    </row>
    <row r="54" spans="2:5" ht="12.75" customHeight="1">
      <c r="B54" s="29">
        <v>900</v>
      </c>
      <c r="C54" s="11" t="s">
        <v>10</v>
      </c>
      <c r="D54" s="93">
        <f>D55+D56+D57+D58+D59</f>
        <v>1936789</v>
      </c>
      <c r="E54" s="73">
        <f t="shared" si="2"/>
        <v>4.642158968725567</v>
      </c>
    </row>
    <row r="55" spans="2:5" ht="12.75" customHeight="1">
      <c r="B55" s="24">
        <v>90001</v>
      </c>
      <c r="C55" s="12" t="s">
        <v>55</v>
      </c>
      <c r="D55" s="111">
        <f>Wydatki!C205-60000</f>
        <v>602804</v>
      </c>
      <c r="E55" s="73">
        <f t="shared" si="2"/>
        <v>1.444820264356957</v>
      </c>
    </row>
    <row r="56" spans="2:5" ht="12.75" customHeight="1">
      <c r="B56" s="24">
        <v>90003</v>
      </c>
      <c r="C56" s="12" t="s">
        <v>57</v>
      </c>
      <c r="D56" s="111">
        <f>Wydatki!C209</f>
        <v>465100</v>
      </c>
      <c r="E56" s="73">
        <f t="shared" si="2"/>
        <v>1.1147668312626007</v>
      </c>
    </row>
    <row r="57" spans="2:5" ht="12.75" customHeight="1">
      <c r="B57" s="24">
        <v>90004</v>
      </c>
      <c r="C57" s="12" t="s">
        <v>58</v>
      </c>
      <c r="D57" s="111">
        <f>Wydatki!C213</f>
        <v>70600</v>
      </c>
      <c r="E57" s="73">
        <f t="shared" si="2"/>
        <v>0.1692163798906463</v>
      </c>
    </row>
    <row r="58" spans="2:5" ht="12.75" customHeight="1">
      <c r="B58" s="24">
        <v>90015</v>
      </c>
      <c r="C58" s="12" t="s">
        <v>59</v>
      </c>
      <c r="D58" s="111">
        <f>Wydatki!C215-130000</f>
        <v>638865</v>
      </c>
      <c r="E58" s="73">
        <f t="shared" si="2"/>
        <v>1.531252443892886</v>
      </c>
    </row>
    <row r="59" spans="2:5" ht="12.75" customHeight="1">
      <c r="B59" s="30">
        <v>90095</v>
      </c>
      <c r="C59" s="40" t="s">
        <v>26</v>
      </c>
      <c r="D59" s="164">
        <f>Wydatki!C220</f>
        <v>159420</v>
      </c>
      <c r="E59" s="73">
        <f t="shared" si="2"/>
        <v>0.3821030493224764</v>
      </c>
    </row>
    <row r="60" spans="2:5" ht="12.75" customHeight="1">
      <c r="B60" s="161"/>
      <c r="C60" s="162" t="s">
        <v>12</v>
      </c>
      <c r="D60" s="163">
        <f>D46+D49+D51+D54</f>
        <v>7351004.73</v>
      </c>
      <c r="E60" s="73">
        <f t="shared" si="2"/>
        <v>17.619127605801957</v>
      </c>
    </row>
    <row r="61" s="38" customFormat="1" ht="12.75" customHeight="1"/>
    <row r="62" spans="2:5" ht="12.75" customHeight="1">
      <c r="B62" s="123" t="s">
        <v>21</v>
      </c>
      <c r="C62" s="124" t="s">
        <v>23</v>
      </c>
      <c r="D62" s="120" t="s">
        <v>182</v>
      </c>
      <c r="E62" s="154" t="s">
        <v>234</v>
      </c>
    </row>
    <row r="63" spans="2:5" ht="12.75" customHeight="1">
      <c r="B63" s="32">
        <v>750</v>
      </c>
      <c r="C63" s="47" t="s">
        <v>7</v>
      </c>
      <c r="D63" s="94">
        <f>D64+D65+D66+D67</f>
        <v>3672290.74</v>
      </c>
      <c r="E63" s="73">
        <f aca="true" t="shared" si="3" ref="E63:E68">D63/41721729.33%</f>
        <v>8.801866075477943</v>
      </c>
    </row>
    <row r="64" spans="2:5" ht="12.75" customHeight="1">
      <c r="B64" s="26">
        <v>75011</v>
      </c>
      <c r="C64" s="46" t="s">
        <v>33</v>
      </c>
      <c r="D64" s="95">
        <f>Wydatki!C68</f>
        <v>256950</v>
      </c>
      <c r="E64" s="73">
        <f t="shared" si="3"/>
        <v>0.6158661304943566</v>
      </c>
    </row>
    <row r="65" spans="2:5" s="38" customFormat="1" ht="12.75" customHeight="1">
      <c r="B65" s="26">
        <v>75022</v>
      </c>
      <c r="C65" s="46" t="s">
        <v>34</v>
      </c>
      <c r="D65" s="95">
        <f>Wydatki!C72</f>
        <v>176500</v>
      </c>
      <c r="E65" s="73">
        <f t="shared" si="3"/>
        <v>0.42304094972661577</v>
      </c>
    </row>
    <row r="66" spans="2:5" ht="12.75" customHeight="1">
      <c r="B66" s="26">
        <v>75023</v>
      </c>
      <c r="C66" s="46" t="s">
        <v>35</v>
      </c>
      <c r="D66" s="95">
        <f>Wydatki!C74-150000</f>
        <v>3114190.74</v>
      </c>
      <c r="E66" s="73">
        <f t="shared" si="3"/>
        <v>7.464193814614348</v>
      </c>
    </row>
    <row r="67" spans="2:5" ht="12.75" customHeight="1">
      <c r="B67" s="31">
        <v>75095</v>
      </c>
      <c r="C67" s="48" t="s">
        <v>26</v>
      </c>
      <c r="D67" s="96">
        <f>Wydatki!C83</f>
        <v>124650</v>
      </c>
      <c r="E67" s="73">
        <f t="shared" si="3"/>
        <v>0.2987651806426213</v>
      </c>
    </row>
    <row r="68" spans="2:5" ht="12.75" customHeight="1">
      <c r="B68" s="161"/>
      <c r="C68" s="162" t="s">
        <v>12</v>
      </c>
      <c r="D68" s="163">
        <f>D63</f>
        <v>3672290.74</v>
      </c>
      <c r="E68" s="73">
        <f t="shared" si="3"/>
        <v>8.801866075477943</v>
      </c>
    </row>
    <row r="70" spans="2:5" ht="12.75" customHeight="1">
      <c r="B70" s="123" t="s">
        <v>21</v>
      </c>
      <c r="C70" s="124" t="s">
        <v>23</v>
      </c>
      <c r="D70" s="120" t="s">
        <v>182</v>
      </c>
      <c r="E70" s="154" t="s">
        <v>234</v>
      </c>
    </row>
    <row r="71" spans="2:5" ht="12.75" customHeight="1">
      <c r="B71" s="18" t="s">
        <v>66</v>
      </c>
      <c r="C71" s="11" t="s">
        <v>22</v>
      </c>
      <c r="D71" s="94">
        <f>D72</f>
        <v>6400</v>
      </c>
      <c r="E71" s="73">
        <f aca="true" t="shared" si="4" ref="E71:E91">D71/41721729.33%</f>
        <v>0.015339728488670488</v>
      </c>
    </row>
    <row r="72" spans="2:5" ht="12.75" customHeight="1">
      <c r="B72" s="20" t="s">
        <v>67</v>
      </c>
      <c r="C72" s="40" t="s">
        <v>24</v>
      </c>
      <c r="D72" s="96">
        <f>Wydatki!C5</f>
        <v>6400</v>
      </c>
      <c r="E72" s="73">
        <f t="shared" si="4"/>
        <v>0.015339728488670488</v>
      </c>
    </row>
    <row r="73" spans="2:5" ht="12.75" customHeight="1">
      <c r="B73" s="21" t="s">
        <v>68</v>
      </c>
      <c r="C73" s="49" t="s">
        <v>3</v>
      </c>
      <c r="D73" s="103">
        <f>D74</f>
        <v>46000</v>
      </c>
      <c r="E73" s="73">
        <f t="shared" si="4"/>
        <v>0.11025429851231913</v>
      </c>
    </row>
    <row r="74" spans="2:5" ht="12.75" customHeight="1">
      <c r="B74" s="22" t="s">
        <v>69</v>
      </c>
      <c r="C74" s="50" t="s">
        <v>25</v>
      </c>
      <c r="D74" s="95">
        <f>Wydatki!C12</f>
        <v>46000</v>
      </c>
      <c r="E74" s="73">
        <f t="shared" si="4"/>
        <v>0.11025429851231913</v>
      </c>
    </row>
    <row r="75" spans="2:5" ht="12.75" customHeight="1">
      <c r="B75" s="32">
        <v>500</v>
      </c>
      <c r="C75" s="55" t="s">
        <v>27</v>
      </c>
      <c r="D75" s="94">
        <f>D76</f>
        <v>26400</v>
      </c>
      <c r="E75" s="73">
        <f t="shared" si="4"/>
        <v>0.06327638001576576</v>
      </c>
    </row>
    <row r="76" spans="2:5" ht="12.75" customHeight="1">
      <c r="B76" s="31">
        <v>50095</v>
      </c>
      <c r="C76" s="56" t="s">
        <v>26</v>
      </c>
      <c r="D76" s="96">
        <f>Wydatki!C28</f>
        <v>26400</v>
      </c>
      <c r="E76" s="73">
        <f t="shared" si="4"/>
        <v>0.06327638001576576</v>
      </c>
    </row>
    <row r="77" spans="2:5" ht="12.75" customHeight="1">
      <c r="B77" s="29">
        <v>710</v>
      </c>
      <c r="C77" s="11" t="s">
        <v>31</v>
      </c>
      <c r="D77" s="158">
        <f>D79+D80+D78</f>
        <v>100000</v>
      </c>
      <c r="E77" s="73">
        <f t="shared" si="4"/>
        <v>0.23968325763547638</v>
      </c>
    </row>
    <row r="78" spans="2:5" ht="12.75" customHeight="1">
      <c r="B78" s="24">
        <v>71004</v>
      </c>
      <c r="C78" s="12" t="s">
        <v>125</v>
      </c>
      <c r="D78" s="155">
        <f>Wydatki!C61</f>
        <v>55000</v>
      </c>
      <c r="E78" s="73">
        <f t="shared" si="4"/>
        <v>0.131825791699512</v>
      </c>
    </row>
    <row r="79" spans="2:5" ht="12.75" customHeight="1">
      <c r="B79" s="24">
        <v>71035</v>
      </c>
      <c r="C79" s="12" t="s">
        <v>32</v>
      </c>
      <c r="D79" s="155">
        <f>Wydatki!C63-50000</f>
        <v>4000</v>
      </c>
      <c r="E79" s="73">
        <f t="shared" si="4"/>
        <v>0.009587330305419054</v>
      </c>
    </row>
    <row r="80" spans="2:5" ht="12.75" customHeight="1">
      <c r="B80" s="30">
        <v>71095</v>
      </c>
      <c r="C80" s="40" t="s">
        <v>26</v>
      </c>
      <c r="D80" s="159">
        <f>Wydatki!C65</f>
        <v>41000</v>
      </c>
      <c r="E80" s="73">
        <f t="shared" si="4"/>
        <v>0.0982701356305453</v>
      </c>
    </row>
    <row r="81" spans="2:5" ht="12.75" customHeight="1">
      <c r="B81" s="29">
        <v>751</v>
      </c>
      <c r="C81" s="42" t="s">
        <v>168</v>
      </c>
      <c r="D81" s="97">
        <f>D82</f>
        <v>2946</v>
      </c>
      <c r="E81" s="73">
        <f t="shared" si="4"/>
        <v>0.007061068769941134</v>
      </c>
    </row>
    <row r="82" spans="2:5" ht="12.75" customHeight="1">
      <c r="B82" s="30">
        <v>75101</v>
      </c>
      <c r="C82" s="40" t="s">
        <v>168</v>
      </c>
      <c r="D82" s="99">
        <f>Wydatki!C89</f>
        <v>2946</v>
      </c>
      <c r="E82" s="73">
        <f t="shared" si="4"/>
        <v>0.007061068769941134</v>
      </c>
    </row>
    <row r="83" spans="2:5" ht="12.75" customHeight="1">
      <c r="B83" s="149">
        <v>754</v>
      </c>
      <c r="C83" s="27" t="s">
        <v>37</v>
      </c>
      <c r="D83" s="150">
        <f>D84</f>
        <v>149692.9</v>
      </c>
      <c r="E83" s="73">
        <f t="shared" si="4"/>
        <v>0.358788819169016</v>
      </c>
    </row>
    <row r="84" spans="2:5" ht="12.75" customHeight="1">
      <c r="B84" s="24">
        <v>75412</v>
      </c>
      <c r="C84" s="12" t="s">
        <v>38</v>
      </c>
      <c r="D84" s="98">
        <f>Wydatki!C100-5000</f>
        <v>149692.9</v>
      </c>
      <c r="E84" s="73">
        <f t="shared" si="4"/>
        <v>0.358788819169016</v>
      </c>
    </row>
    <row r="85" spans="2:5" ht="12.75" customHeight="1">
      <c r="B85" s="29">
        <v>756</v>
      </c>
      <c r="C85" s="11" t="s">
        <v>211</v>
      </c>
      <c r="D85" s="106">
        <f>D86</f>
        <v>60000</v>
      </c>
      <c r="E85" s="73">
        <f t="shared" si="4"/>
        <v>0.14380995458128581</v>
      </c>
    </row>
    <row r="86" spans="2:5" ht="12.75" customHeight="1">
      <c r="B86" s="30">
        <v>75647</v>
      </c>
      <c r="C86" s="40" t="s">
        <v>36</v>
      </c>
      <c r="D86" s="99">
        <f>Wydatki!C110</f>
        <v>60000</v>
      </c>
      <c r="E86" s="73">
        <f t="shared" si="4"/>
        <v>0.14380995458128581</v>
      </c>
    </row>
    <row r="87" spans="2:5" ht="12.75" customHeight="1">
      <c r="B87" s="25">
        <v>757</v>
      </c>
      <c r="C87" s="49" t="s">
        <v>39</v>
      </c>
      <c r="D87" s="103">
        <f>D88</f>
        <v>138212.01</v>
      </c>
      <c r="E87" s="73">
        <f t="shared" si="4"/>
        <v>0.3312710480114704</v>
      </c>
    </row>
    <row r="88" spans="2:5" ht="12.75" customHeight="1">
      <c r="B88" s="26">
        <v>75702</v>
      </c>
      <c r="C88" s="50" t="s">
        <v>85</v>
      </c>
      <c r="D88" s="95">
        <f>Wydatki!C115</f>
        <v>138212.01</v>
      </c>
      <c r="E88" s="73">
        <f t="shared" si="4"/>
        <v>0.3312710480114704</v>
      </c>
    </row>
    <row r="89" spans="2:5" ht="12.75" customHeight="1">
      <c r="B89" s="32">
        <v>758</v>
      </c>
      <c r="C89" s="55" t="s">
        <v>8</v>
      </c>
      <c r="D89" s="94">
        <f>D90</f>
        <v>40007</v>
      </c>
      <c r="E89" s="73">
        <f t="shared" si="4"/>
        <v>0.09589008088222503</v>
      </c>
    </row>
    <row r="90" spans="2:5" ht="12.75" customHeight="1">
      <c r="B90" s="26">
        <v>75818</v>
      </c>
      <c r="C90" s="50" t="s">
        <v>40</v>
      </c>
      <c r="D90" s="95">
        <f>Wydatki!C119</f>
        <v>40007</v>
      </c>
      <c r="E90" s="73">
        <f t="shared" si="4"/>
        <v>0.09589008088222503</v>
      </c>
    </row>
    <row r="91" spans="2:5" ht="12.75" customHeight="1">
      <c r="B91" s="161"/>
      <c r="C91" s="162" t="s">
        <v>12</v>
      </c>
      <c r="D91" s="163">
        <f>D71+D73+D75+D77+D81+D83+D85+D87+D89</f>
        <v>569657.91</v>
      </c>
      <c r="E91" s="73">
        <f t="shared" si="4"/>
        <v>1.3653746360661703</v>
      </c>
    </row>
    <row r="93" spans="2:5" ht="12.75" customHeight="1">
      <c r="B93" s="123" t="s">
        <v>21</v>
      </c>
      <c r="C93" s="124" t="s">
        <v>56</v>
      </c>
      <c r="D93" s="120" t="s">
        <v>182</v>
      </c>
      <c r="E93" s="180"/>
    </row>
    <row r="94" spans="2:5" ht="12.75" customHeight="1">
      <c r="B94" s="29">
        <v>400</v>
      </c>
      <c r="C94" s="11" t="s">
        <v>83</v>
      </c>
      <c r="D94" s="166">
        <f>D95</f>
        <v>42000</v>
      </c>
      <c r="E94" s="73">
        <f aca="true" t="shared" si="5" ref="E94:E157">D94/41721729.33%</f>
        <v>0.10066696820690008</v>
      </c>
    </row>
    <row r="95" spans="2:5" ht="12.75" customHeight="1">
      <c r="B95" s="24">
        <v>40002</v>
      </c>
      <c r="C95" s="12" t="s">
        <v>99</v>
      </c>
      <c r="D95" s="167">
        <f>D96</f>
        <v>42000</v>
      </c>
      <c r="E95" s="73">
        <f t="shared" si="5"/>
        <v>0.10066696820690008</v>
      </c>
    </row>
    <row r="96" spans="2:5" ht="12.75" customHeight="1">
      <c r="B96" s="24"/>
      <c r="C96" s="12" t="s">
        <v>56</v>
      </c>
      <c r="D96" s="167">
        <f>D97</f>
        <v>42000</v>
      </c>
      <c r="E96" s="73">
        <f t="shared" si="5"/>
        <v>0.10066696820690008</v>
      </c>
    </row>
    <row r="97" spans="2:5" ht="12.75" customHeight="1">
      <c r="B97" s="30"/>
      <c r="C97" s="40" t="s">
        <v>156</v>
      </c>
      <c r="D97" s="168">
        <v>42000</v>
      </c>
      <c r="E97" s="73">
        <f t="shared" si="5"/>
        <v>0.10066696820690008</v>
      </c>
    </row>
    <row r="98" spans="2:5" ht="12.75" customHeight="1">
      <c r="B98" s="11">
        <v>600</v>
      </c>
      <c r="C98" s="11" t="s">
        <v>4</v>
      </c>
      <c r="D98" s="166">
        <f>D99+D102</f>
        <v>890000</v>
      </c>
      <c r="E98" s="73">
        <f t="shared" si="5"/>
        <v>2.1331809929557397</v>
      </c>
    </row>
    <row r="99" spans="2:5" ht="12.75" customHeight="1">
      <c r="B99" s="83">
        <v>60013</v>
      </c>
      <c r="C99" s="83" t="s">
        <v>197</v>
      </c>
      <c r="D99" s="169">
        <f>D100</f>
        <v>50000</v>
      </c>
      <c r="E99" s="73">
        <f t="shared" si="5"/>
        <v>0.11984162881773819</v>
      </c>
    </row>
    <row r="100" spans="2:5" ht="12.75" customHeight="1">
      <c r="B100" s="141"/>
      <c r="C100" s="83" t="s">
        <v>227</v>
      </c>
      <c r="D100" s="169">
        <v>50000</v>
      </c>
      <c r="E100" s="73">
        <f t="shared" si="5"/>
        <v>0.11984162881773819</v>
      </c>
    </row>
    <row r="101" spans="2:5" ht="12.75" customHeight="1">
      <c r="B101" s="141"/>
      <c r="C101" s="83" t="s">
        <v>232</v>
      </c>
      <c r="D101" s="169">
        <v>50000</v>
      </c>
      <c r="E101" s="73">
        <f t="shared" si="5"/>
        <v>0.11984162881773819</v>
      </c>
    </row>
    <row r="102" spans="2:5" ht="12.75" customHeight="1">
      <c r="B102" s="12">
        <v>60016</v>
      </c>
      <c r="C102" s="12" t="s">
        <v>28</v>
      </c>
      <c r="D102" s="170">
        <f>D103</f>
        <v>840000</v>
      </c>
      <c r="E102" s="73">
        <f t="shared" si="5"/>
        <v>2.0133393641380013</v>
      </c>
    </row>
    <row r="103" spans="2:5" ht="12.75" customHeight="1">
      <c r="B103" s="12"/>
      <c r="C103" s="12" t="s">
        <v>56</v>
      </c>
      <c r="D103" s="167">
        <f>D104+D107+D113+D112+D110+D111+D105+D106+D108+D109</f>
        <v>840000</v>
      </c>
      <c r="E103" s="73">
        <f t="shared" si="5"/>
        <v>2.0133393641380013</v>
      </c>
    </row>
    <row r="104" spans="2:5" ht="12.75" customHeight="1">
      <c r="B104" s="83"/>
      <c r="C104" s="83" t="s">
        <v>109</v>
      </c>
      <c r="D104" s="171">
        <v>50000</v>
      </c>
      <c r="E104" s="73">
        <f t="shared" si="5"/>
        <v>0.11984162881773819</v>
      </c>
    </row>
    <row r="105" spans="2:5" ht="12.75" customHeight="1">
      <c r="B105" s="83"/>
      <c r="C105" s="14" t="s">
        <v>235</v>
      </c>
      <c r="D105" s="171">
        <f>80000+100000</f>
        <v>180000</v>
      </c>
      <c r="E105" s="73">
        <f t="shared" si="5"/>
        <v>0.43142986374385744</v>
      </c>
    </row>
    <row r="106" spans="2:5" ht="12.75" customHeight="1">
      <c r="B106" s="83"/>
      <c r="C106" s="14" t="s">
        <v>221</v>
      </c>
      <c r="D106" s="171">
        <f>100000+15000+30000</f>
        <v>145000</v>
      </c>
      <c r="E106" s="73">
        <f t="shared" si="5"/>
        <v>0.3475407235714407</v>
      </c>
    </row>
    <row r="107" spans="2:5" ht="12.75" customHeight="1">
      <c r="B107" s="83"/>
      <c r="C107" s="83" t="s">
        <v>162</v>
      </c>
      <c r="D107" s="171">
        <v>100000</v>
      </c>
      <c r="E107" s="73">
        <f t="shared" si="5"/>
        <v>0.23968325763547638</v>
      </c>
    </row>
    <row r="108" spans="2:5" ht="12.75" customHeight="1">
      <c r="B108" s="81"/>
      <c r="C108" s="83" t="s">
        <v>233</v>
      </c>
      <c r="D108" s="171">
        <v>50000</v>
      </c>
      <c r="E108" s="73">
        <f t="shared" si="5"/>
        <v>0.11984162881773819</v>
      </c>
    </row>
    <row r="109" spans="2:5" ht="12.75" customHeight="1">
      <c r="B109" s="81"/>
      <c r="C109" s="83" t="s">
        <v>224</v>
      </c>
      <c r="D109" s="171">
        <v>50000</v>
      </c>
      <c r="E109" s="73">
        <f t="shared" si="5"/>
        <v>0.11984162881773819</v>
      </c>
    </row>
    <row r="110" spans="2:5" ht="12.75" customHeight="1">
      <c r="B110" s="24"/>
      <c r="C110" s="28" t="s">
        <v>199</v>
      </c>
      <c r="D110" s="167">
        <v>50000</v>
      </c>
      <c r="E110" s="73">
        <f t="shared" si="5"/>
        <v>0.11984162881773819</v>
      </c>
    </row>
    <row r="111" spans="2:5" ht="12.75" customHeight="1">
      <c r="B111" s="24"/>
      <c r="C111" s="28" t="s">
        <v>198</v>
      </c>
      <c r="D111" s="167">
        <v>40000</v>
      </c>
      <c r="E111" s="73">
        <f t="shared" si="5"/>
        <v>0.09587330305419055</v>
      </c>
    </row>
    <row r="112" spans="2:5" ht="12.75" customHeight="1">
      <c r="B112" s="24"/>
      <c r="C112" s="28" t="s">
        <v>163</v>
      </c>
      <c r="D112" s="167">
        <f>50000+25000</f>
        <v>75000</v>
      </c>
      <c r="E112" s="73">
        <f t="shared" si="5"/>
        <v>0.17976244322660728</v>
      </c>
    </row>
    <row r="113" spans="2:5" ht="12.75" customHeight="1">
      <c r="B113" s="12"/>
      <c r="C113" s="12" t="s">
        <v>110</v>
      </c>
      <c r="D113" s="167">
        <v>100000</v>
      </c>
      <c r="E113" s="73">
        <f t="shared" si="5"/>
        <v>0.23968325763547638</v>
      </c>
    </row>
    <row r="114" spans="2:5" ht="12.75" customHeight="1">
      <c r="B114" s="29">
        <v>700</v>
      </c>
      <c r="C114" s="11" t="s">
        <v>6</v>
      </c>
      <c r="D114" s="158">
        <f>D115</f>
        <v>210000</v>
      </c>
      <c r="E114" s="73">
        <f t="shared" si="5"/>
        <v>0.5033348410345003</v>
      </c>
    </row>
    <row r="115" spans="2:5" ht="12.75" customHeight="1">
      <c r="B115" s="24">
        <v>70005</v>
      </c>
      <c r="C115" s="12" t="s">
        <v>30</v>
      </c>
      <c r="D115" s="155">
        <f>D116</f>
        <v>210000</v>
      </c>
      <c r="E115" s="73">
        <f t="shared" si="5"/>
        <v>0.5033348410345003</v>
      </c>
    </row>
    <row r="116" spans="2:5" ht="12.75" customHeight="1">
      <c r="B116" s="24"/>
      <c r="C116" s="83" t="s">
        <v>56</v>
      </c>
      <c r="D116" s="157">
        <f>D117+D118+D119</f>
        <v>210000</v>
      </c>
      <c r="E116" s="73">
        <f t="shared" si="5"/>
        <v>0.5033348410345003</v>
      </c>
    </row>
    <row r="117" spans="2:5" ht="12.75" customHeight="1">
      <c r="B117" s="24"/>
      <c r="C117" s="83" t="s">
        <v>230</v>
      </c>
      <c r="D117" s="157">
        <v>30000</v>
      </c>
      <c r="E117" s="73">
        <f t="shared" si="5"/>
        <v>0.07190497729064291</v>
      </c>
    </row>
    <row r="118" spans="2:5" ht="12.75" customHeight="1">
      <c r="B118" s="24"/>
      <c r="C118" s="12" t="s">
        <v>222</v>
      </c>
      <c r="D118" s="156">
        <v>80000</v>
      </c>
      <c r="E118" s="73">
        <f t="shared" si="5"/>
        <v>0.1917466061083811</v>
      </c>
    </row>
    <row r="119" spans="2:5" ht="12.75" customHeight="1">
      <c r="B119" s="24"/>
      <c r="C119" s="12" t="s">
        <v>231</v>
      </c>
      <c r="D119" s="156">
        <v>100000</v>
      </c>
      <c r="E119" s="73">
        <f t="shared" si="5"/>
        <v>0.23968325763547638</v>
      </c>
    </row>
    <row r="120" spans="2:5" ht="12.75" customHeight="1">
      <c r="B120" s="29">
        <v>710</v>
      </c>
      <c r="C120" s="11" t="s">
        <v>31</v>
      </c>
      <c r="D120" s="158">
        <f>D121</f>
        <v>50000</v>
      </c>
      <c r="E120" s="73">
        <f t="shared" si="5"/>
        <v>0.11984162881773819</v>
      </c>
    </row>
    <row r="121" spans="2:5" ht="12.75" customHeight="1">
      <c r="B121" s="24">
        <v>71035</v>
      </c>
      <c r="C121" s="12" t="s">
        <v>32</v>
      </c>
      <c r="D121" s="155">
        <f>D122</f>
        <v>50000</v>
      </c>
      <c r="E121" s="73">
        <f t="shared" si="5"/>
        <v>0.11984162881773819</v>
      </c>
    </row>
    <row r="122" spans="2:5" ht="12.75" customHeight="1">
      <c r="B122" s="24"/>
      <c r="C122" s="12" t="s">
        <v>56</v>
      </c>
      <c r="D122" s="156">
        <f>D123</f>
        <v>50000</v>
      </c>
      <c r="E122" s="73">
        <f t="shared" si="5"/>
        <v>0.11984162881773819</v>
      </c>
    </row>
    <row r="123" spans="2:5" ht="12.75" customHeight="1">
      <c r="B123" s="30"/>
      <c r="C123" s="40" t="s">
        <v>111</v>
      </c>
      <c r="D123" s="172">
        <v>50000</v>
      </c>
      <c r="E123" s="73">
        <f t="shared" si="5"/>
        <v>0.11984162881773819</v>
      </c>
    </row>
    <row r="124" spans="2:5" ht="12.75" customHeight="1">
      <c r="B124" s="25">
        <v>750</v>
      </c>
      <c r="C124" s="45" t="s">
        <v>7</v>
      </c>
      <c r="D124" s="173">
        <f>D125</f>
        <v>150000</v>
      </c>
      <c r="E124" s="73">
        <f t="shared" si="5"/>
        <v>0.35952488645321456</v>
      </c>
    </row>
    <row r="125" spans="2:5" ht="12.75" customHeight="1">
      <c r="B125" s="26">
        <v>75023</v>
      </c>
      <c r="C125" s="46" t="s">
        <v>35</v>
      </c>
      <c r="D125" s="170">
        <f>D126</f>
        <v>150000</v>
      </c>
      <c r="E125" s="73">
        <f t="shared" si="5"/>
        <v>0.35952488645321456</v>
      </c>
    </row>
    <row r="126" spans="2:5" ht="12.75" customHeight="1">
      <c r="B126" s="26"/>
      <c r="C126" s="46" t="s">
        <v>56</v>
      </c>
      <c r="D126" s="167">
        <f>D127+D128</f>
        <v>150000</v>
      </c>
      <c r="E126" s="73">
        <f t="shared" si="5"/>
        <v>0.35952488645321456</v>
      </c>
    </row>
    <row r="127" spans="2:5" ht="12.75" customHeight="1">
      <c r="B127" s="26"/>
      <c r="C127" s="46" t="s">
        <v>157</v>
      </c>
      <c r="D127" s="167">
        <v>50000</v>
      </c>
      <c r="E127" s="73">
        <f t="shared" si="5"/>
        <v>0.11984162881773819</v>
      </c>
    </row>
    <row r="128" spans="2:5" ht="12.75" customHeight="1">
      <c r="B128" s="26"/>
      <c r="C128" s="46" t="s">
        <v>158</v>
      </c>
      <c r="D128" s="167">
        <v>100000</v>
      </c>
      <c r="E128" s="73">
        <f t="shared" si="5"/>
        <v>0.23968325763547638</v>
      </c>
    </row>
    <row r="129" spans="2:5" ht="12.75" customHeight="1">
      <c r="B129" s="29">
        <v>754</v>
      </c>
      <c r="C129" s="11" t="s">
        <v>37</v>
      </c>
      <c r="D129" s="158">
        <f>D130</f>
        <v>5000</v>
      </c>
      <c r="E129" s="73">
        <f t="shared" si="5"/>
        <v>0.011984162881773818</v>
      </c>
    </row>
    <row r="130" spans="2:5" ht="12.75" customHeight="1">
      <c r="B130" s="24">
        <v>75412</v>
      </c>
      <c r="C130" s="12" t="s">
        <v>38</v>
      </c>
      <c r="D130" s="155">
        <f>D131</f>
        <v>5000</v>
      </c>
      <c r="E130" s="73">
        <f t="shared" si="5"/>
        <v>0.011984162881773818</v>
      </c>
    </row>
    <row r="131" spans="2:5" ht="12.75" customHeight="1">
      <c r="B131" s="24"/>
      <c r="C131" s="12" t="s">
        <v>56</v>
      </c>
      <c r="D131" s="156">
        <f>D132</f>
        <v>5000</v>
      </c>
      <c r="E131" s="73">
        <f t="shared" si="5"/>
        <v>0.011984162881773818</v>
      </c>
    </row>
    <row r="132" spans="2:5" ht="12.75" customHeight="1">
      <c r="B132" s="30"/>
      <c r="C132" s="40" t="s">
        <v>157</v>
      </c>
      <c r="D132" s="172">
        <v>5000</v>
      </c>
      <c r="E132" s="73">
        <f t="shared" si="5"/>
        <v>0.011984162881773818</v>
      </c>
    </row>
    <row r="133" spans="2:5" ht="12.75" customHeight="1">
      <c r="B133" s="29">
        <v>801</v>
      </c>
      <c r="C133" s="11" t="s">
        <v>9</v>
      </c>
      <c r="D133" s="158">
        <f>D134</f>
        <v>2829686.8</v>
      </c>
      <c r="E133" s="73">
        <f t="shared" si="5"/>
        <v>6.7822855031210665</v>
      </c>
    </row>
    <row r="134" spans="2:5" ht="12.75" customHeight="1">
      <c r="B134" s="24">
        <v>80101</v>
      </c>
      <c r="C134" s="12" t="s">
        <v>42</v>
      </c>
      <c r="D134" s="155">
        <f>D135</f>
        <v>2829686.8</v>
      </c>
      <c r="E134" s="73">
        <f t="shared" si="5"/>
        <v>6.7822855031210665</v>
      </c>
    </row>
    <row r="135" spans="2:5" ht="12.75" customHeight="1">
      <c r="B135" s="81"/>
      <c r="C135" s="83" t="s">
        <v>56</v>
      </c>
      <c r="D135" s="157">
        <f>D138+D139+D136+D137+D140</f>
        <v>2829686.8</v>
      </c>
      <c r="E135" s="73">
        <f t="shared" si="5"/>
        <v>6.7822855031210665</v>
      </c>
    </row>
    <row r="136" spans="2:5" ht="12.75" customHeight="1">
      <c r="B136" s="81"/>
      <c r="C136" s="12" t="s">
        <v>179</v>
      </c>
      <c r="D136" s="157">
        <v>17000</v>
      </c>
      <c r="E136" s="73">
        <f t="shared" si="5"/>
        <v>0.04074615379803098</v>
      </c>
    </row>
    <row r="137" spans="2:5" ht="12.75" customHeight="1">
      <c r="B137" s="81"/>
      <c r="C137" s="12" t="s">
        <v>225</v>
      </c>
      <c r="D137" s="157">
        <v>5000</v>
      </c>
      <c r="E137" s="73">
        <f t="shared" si="5"/>
        <v>0.011984162881773818</v>
      </c>
    </row>
    <row r="138" spans="2:5" ht="12.75" customHeight="1">
      <c r="B138" s="81"/>
      <c r="C138" s="83" t="s">
        <v>215</v>
      </c>
      <c r="D138" s="157">
        <v>70000</v>
      </c>
      <c r="E138" s="73">
        <f t="shared" si="5"/>
        <v>0.16777828034483347</v>
      </c>
    </row>
    <row r="139" spans="2:5" ht="12.75" customHeight="1">
      <c r="B139" s="24"/>
      <c r="C139" s="12" t="s">
        <v>180</v>
      </c>
      <c r="D139" s="156">
        <v>410653.8</v>
      </c>
      <c r="E139" s="73">
        <f t="shared" si="5"/>
        <v>0.9842684054438738</v>
      </c>
    </row>
    <row r="140" spans="2:5" ht="12.75" customHeight="1">
      <c r="B140" s="30"/>
      <c r="C140" s="40"/>
      <c r="D140" s="172">
        <v>2327033</v>
      </c>
      <c r="E140" s="73">
        <f t="shared" si="5"/>
        <v>5.577508500652555</v>
      </c>
    </row>
    <row r="141" spans="2:5" ht="12.75" customHeight="1">
      <c r="B141" s="29">
        <v>900</v>
      </c>
      <c r="C141" s="11" t="s">
        <v>10</v>
      </c>
      <c r="D141" s="174">
        <f>D142+D145+D148</f>
        <v>4016664.5300000003</v>
      </c>
      <c r="E141" s="73">
        <f t="shared" si="5"/>
        <v>9.627272393792696</v>
      </c>
    </row>
    <row r="142" spans="2:5" ht="12.75" customHeight="1">
      <c r="B142" s="24">
        <v>90001</v>
      </c>
      <c r="C142" s="12" t="s">
        <v>55</v>
      </c>
      <c r="D142" s="175">
        <f>D143</f>
        <v>60000</v>
      </c>
      <c r="E142" s="73">
        <f t="shared" si="5"/>
        <v>0.14380995458128581</v>
      </c>
    </row>
    <row r="143" spans="2:5" ht="12.75" customHeight="1">
      <c r="B143" s="24"/>
      <c r="C143" s="12" t="s">
        <v>56</v>
      </c>
      <c r="D143" s="167">
        <f>D144</f>
        <v>60000</v>
      </c>
      <c r="E143" s="73">
        <f t="shared" si="5"/>
        <v>0.14380995458128581</v>
      </c>
    </row>
    <row r="144" spans="2:5" ht="12.75" customHeight="1">
      <c r="B144" s="24"/>
      <c r="C144" s="83" t="s">
        <v>228</v>
      </c>
      <c r="D144" s="171">
        <v>60000</v>
      </c>
      <c r="E144" s="73">
        <f t="shared" si="5"/>
        <v>0.14380995458128581</v>
      </c>
    </row>
    <row r="145" spans="2:5" ht="12.75" customHeight="1">
      <c r="B145" s="33">
        <v>90002</v>
      </c>
      <c r="C145" s="28" t="s">
        <v>151</v>
      </c>
      <c r="D145" s="167">
        <f>D146</f>
        <v>3826664.5300000003</v>
      </c>
      <c r="E145" s="73">
        <f t="shared" si="5"/>
        <v>9.171874204285292</v>
      </c>
    </row>
    <row r="146" spans="2:5" ht="12.75" customHeight="1">
      <c r="B146" s="34"/>
      <c r="C146" s="28" t="s">
        <v>56</v>
      </c>
      <c r="D146" s="167">
        <f>D147</f>
        <v>3826664.5300000003</v>
      </c>
      <c r="E146" s="73">
        <f t="shared" si="5"/>
        <v>9.171874204285292</v>
      </c>
    </row>
    <row r="147" spans="2:5" ht="12.75" customHeight="1">
      <c r="B147" s="60"/>
      <c r="C147" s="40" t="s">
        <v>178</v>
      </c>
      <c r="D147" s="168">
        <f>4186000-354335.47-5000</f>
        <v>3826664.5300000003</v>
      </c>
      <c r="E147" s="73">
        <f t="shared" si="5"/>
        <v>9.171874204285292</v>
      </c>
    </row>
    <row r="148" spans="2:5" ht="12.75" customHeight="1">
      <c r="B148" s="151">
        <v>90015</v>
      </c>
      <c r="C148" s="42" t="s">
        <v>59</v>
      </c>
      <c r="D148" s="176">
        <f>D149</f>
        <v>130000</v>
      </c>
      <c r="E148" s="73">
        <f t="shared" si="5"/>
        <v>0.31158823492611926</v>
      </c>
    </row>
    <row r="149" spans="2:5" ht="12.75" customHeight="1">
      <c r="B149" s="24"/>
      <c r="C149" s="12" t="s">
        <v>56</v>
      </c>
      <c r="D149" s="167">
        <f>D150+D151+D152+D153</f>
        <v>130000</v>
      </c>
      <c r="E149" s="73">
        <f t="shared" si="5"/>
        <v>0.31158823492611926</v>
      </c>
    </row>
    <row r="150" spans="2:5" ht="12.75" customHeight="1">
      <c r="B150" s="24"/>
      <c r="C150" s="12" t="s">
        <v>200</v>
      </c>
      <c r="D150" s="167">
        <f>30000+10000</f>
        <v>40000</v>
      </c>
      <c r="E150" s="73">
        <f t="shared" si="5"/>
        <v>0.09587330305419055</v>
      </c>
    </row>
    <row r="151" spans="2:5" ht="12.75" customHeight="1">
      <c r="B151" s="24"/>
      <c r="C151" s="12" t="s">
        <v>201</v>
      </c>
      <c r="D151" s="167">
        <v>30000</v>
      </c>
      <c r="E151" s="73">
        <f t="shared" si="5"/>
        <v>0.07190497729064291</v>
      </c>
    </row>
    <row r="152" spans="2:5" ht="12.75" customHeight="1">
      <c r="B152" s="24"/>
      <c r="C152" s="12" t="s">
        <v>202</v>
      </c>
      <c r="D152" s="167">
        <v>30000</v>
      </c>
      <c r="E152" s="73">
        <f t="shared" si="5"/>
        <v>0.07190497729064291</v>
      </c>
    </row>
    <row r="153" spans="2:5" ht="12.75" customHeight="1">
      <c r="B153" s="30"/>
      <c r="C153" s="40" t="s">
        <v>203</v>
      </c>
      <c r="D153" s="168">
        <v>30000</v>
      </c>
      <c r="E153" s="73">
        <f t="shared" si="5"/>
        <v>0.07190497729064291</v>
      </c>
    </row>
    <row r="154" spans="2:5" ht="12.75" customHeight="1">
      <c r="B154" s="29">
        <v>926</v>
      </c>
      <c r="C154" s="11" t="s">
        <v>62</v>
      </c>
      <c r="D154" s="177">
        <f>D155</f>
        <v>63000</v>
      </c>
      <c r="E154" s="73">
        <f t="shared" si="5"/>
        <v>0.15100045231035011</v>
      </c>
    </row>
    <row r="155" spans="2:5" ht="12.75" customHeight="1">
      <c r="B155" s="24">
        <v>92605</v>
      </c>
      <c r="C155" s="12" t="s">
        <v>108</v>
      </c>
      <c r="D155" s="178">
        <f>D156</f>
        <v>63000</v>
      </c>
      <c r="E155" s="73">
        <f t="shared" si="5"/>
        <v>0.15100045231035011</v>
      </c>
    </row>
    <row r="156" spans="2:5" ht="12.75" customHeight="1">
      <c r="B156" s="24"/>
      <c r="C156" s="12" t="s">
        <v>56</v>
      </c>
      <c r="D156" s="156">
        <f>D157</f>
        <v>63000</v>
      </c>
      <c r="E156" s="73">
        <f t="shared" si="5"/>
        <v>0.15100045231035011</v>
      </c>
    </row>
    <row r="157" spans="2:5" ht="12.75" customHeight="1">
      <c r="B157" s="24"/>
      <c r="C157" s="152" t="s">
        <v>223</v>
      </c>
      <c r="D157" s="157">
        <f>54000+9000</f>
        <v>63000</v>
      </c>
      <c r="E157" s="73">
        <f t="shared" si="5"/>
        <v>0.15100045231035011</v>
      </c>
    </row>
    <row r="158" spans="2:5" ht="12.75" customHeight="1">
      <c r="B158" s="132"/>
      <c r="C158" s="133" t="s">
        <v>12</v>
      </c>
      <c r="D158" s="179">
        <f>D154+D141+D133+D129+D124+D120+D114+D98+D94</f>
        <v>8256351.33</v>
      </c>
      <c r="E158" s="73">
        <f>D158/41721729.33%</f>
        <v>19.78909182957398</v>
      </c>
    </row>
    <row r="159" spans="2:5" ht="12.75" customHeight="1">
      <c r="B159" s="17"/>
      <c r="C159" s="17"/>
      <c r="D159" s="114">
        <f>D158-D140</f>
        <v>5929318.33</v>
      </c>
      <c r="E159" s="36"/>
    </row>
    <row r="160" ht="12.75" customHeight="1">
      <c r="E160" s="183"/>
    </row>
    <row r="161" ht="12.75" customHeight="1">
      <c r="E161" s="36"/>
    </row>
    <row r="162" ht="12.75" customHeight="1">
      <c r="E162" s="36"/>
    </row>
    <row r="163" ht="12.75" customHeight="1">
      <c r="E163" s="36"/>
    </row>
    <row r="164" ht="12.75" customHeight="1">
      <c r="E164" s="36"/>
    </row>
    <row r="165" ht="12.75" customHeight="1">
      <c r="E165" s="36"/>
    </row>
    <row r="166" ht="12.75" customHeight="1">
      <c r="E166" s="36"/>
    </row>
    <row r="167" ht="12.75" customHeight="1">
      <c r="E167" s="36"/>
    </row>
    <row r="168" ht="12.75" customHeight="1">
      <c r="E168" s="36"/>
    </row>
    <row r="169" ht="12.75" customHeight="1">
      <c r="E169" s="36"/>
    </row>
    <row r="170" ht="12.75" customHeight="1">
      <c r="E170" s="36"/>
    </row>
    <row r="171" ht="12.75" customHeight="1">
      <c r="E171" s="36"/>
    </row>
    <row r="172" ht="12.75" customHeight="1">
      <c r="E172" s="36"/>
    </row>
    <row r="173" ht="12.75" customHeight="1">
      <c r="E173" s="36"/>
    </row>
    <row r="174" ht="12.75" customHeight="1">
      <c r="E174" s="36"/>
    </row>
    <row r="175" ht="12.75" customHeight="1">
      <c r="E175" s="36"/>
    </row>
    <row r="176" ht="12.75" customHeight="1">
      <c r="E176" s="36"/>
    </row>
    <row r="177" ht="12.75" customHeight="1">
      <c r="E177" s="36"/>
    </row>
    <row r="178" ht="12.75" customHeight="1">
      <c r="E178" s="36"/>
    </row>
    <row r="179" ht="12.75" customHeight="1">
      <c r="E179" s="36"/>
    </row>
    <row r="180" ht="12.75" customHeight="1">
      <c r="E180" s="36"/>
    </row>
    <row r="181" ht="12.75" customHeight="1">
      <c r="E181" s="36"/>
    </row>
    <row r="182" ht="12.75" customHeight="1">
      <c r="E182" s="36"/>
    </row>
    <row r="183" ht="12.75" customHeight="1">
      <c r="E183" s="36"/>
    </row>
    <row r="184" ht="12.75" customHeight="1">
      <c r="E184" s="36"/>
    </row>
    <row r="185" ht="12.75" customHeight="1">
      <c r="E185" s="36"/>
    </row>
    <row r="186" ht="12.75" customHeight="1">
      <c r="E186" s="36"/>
    </row>
    <row r="187" ht="12.75" customHeight="1">
      <c r="E187" s="36"/>
    </row>
    <row r="188" ht="12.75" customHeight="1">
      <c r="E188" s="36"/>
    </row>
    <row r="189" ht="12.75" customHeight="1">
      <c r="E189" s="36"/>
    </row>
    <row r="190" ht="12.75" customHeight="1">
      <c r="E190" s="36"/>
    </row>
    <row r="191" ht="12.75" customHeight="1">
      <c r="E191" s="36"/>
    </row>
    <row r="192" ht="12.75" customHeight="1">
      <c r="E192" s="36"/>
    </row>
    <row r="193" ht="12.75" customHeight="1">
      <c r="E193" s="36"/>
    </row>
    <row r="194" ht="12.75" customHeight="1">
      <c r="E194" s="36"/>
    </row>
    <row r="195" ht="12.75" customHeight="1">
      <c r="E195" s="36"/>
    </row>
    <row r="196" ht="12.75" customHeight="1">
      <c r="E196" s="36"/>
    </row>
    <row r="197" ht="12.75" customHeight="1">
      <c r="E197" s="36"/>
    </row>
    <row r="198" ht="12.75" customHeight="1">
      <c r="E198" s="36"/>
    </row>
    <row r="199" ht="12.75" customHeight="1">
      <c r="E199" s="36"/>
    </row>
    <row r="200" ht="12.75" customHeight="1">
      <c r="E200" s="36"/>
    </row>
    <row r="201" ht="12.75" customHeight="1">
      <c r="E201" s="36"/>
    </row>
    <row r="202" ht="12.75" customHeight="1">
      <c r="E202" s="36"/>
    </row>
    <row r="203" ht="12.75" customHeight="1">
      <c r="E203" s="36"/>
    </row>
    <row r="204" ht="12.75" customHeight="1">
      <c r="E204" s="36"/>
    </row>
    <row r="205" ht="12.75" customHeight="1">
      <c r="E205" s="36"/>
    </row>
    <row r="206" ht="12.75" customHeight="1">
      <c r="E206" s="36"/>
    </row>
    <row r="207" ht="12.75" customHeight="1">
      <c r="E207" s="36"/>
    </row>
    <row r="208" ht="12.75" customHeight="1">
      <c r="E208" s="36"/>
    </row>
    <row r="209" ht="12.75" customHeight="1">
      <c r="E209" s="36"/>
    </row>
    <row r="210" ht="12.75" customHeight="1">
      <c r="E210" s="36"/>
    </row>
    <row r="211" ht="12.75" customHeight="1">
      <c r="E211" s="36"/>
    </row>
    <row r="212" ht="12.75" customHeight="1">
      <c r="E212" s="36"/>
    </row>
    <row r="213" ht="12.75" customHeight="1">
      <c r="E213" s="36"/>
    </row>
    <row r="214" ht="12.75" customHeight="1">
      <c r="E214" s="36"/>
    </row>
    <row r="215" ht="12.75" customHeight="1">
      <c r="E215" s="36"/>
    </row>
    <row r="216" ht="12.75" customHeight="1">
      <c r="E216" s="36"/>
    </row>
    <row r="217" ht="12.75" customHeight="1">
      <c r="E217" s="36"/>
    </row>
    <row r="218" ht="12.75" customHeight="1">
      <c r="E218" s="36"/>
    </row>
    <row r="219" ht="12.75" customHeight="1">
      <c r="E219" s="36"/>
    </row>
    <row r="220" ht="12.75" customHeight="1">
      <c r="E220" s="36"/>
    </row>
    <row r="221" ht="12.75" customHeight="1">
      <c r="E221" s="36"/>
    </row>
    <row r="222" ht="12.75" customHeight="1">
      <c r="E222" s="36"/>
    </row>
    <row r="223" ht="12.75" customHeight="1">
      <c r="E223" s="36"/>
    </row>
    <row r="224" ht="12.75" customHeight="1">
      <c r="E224" s="36"/>
    </row>
    <row r="225" ht="12.75" customHeight="1">
      <c r="E225" s="36"/>
    </row>
    <row r="226" ht="12.75" customHeight="1">
      <c r="E226" s="36"/>
    </row>
    <row r="227" ht="12.75" customHeight="1">
      <c r="E227" s="36"/>
    </row>
    <row r="228" ht="12.75" customHeight="1">
      <c r="E228" s="36"/>
    </row>
    <row r="229" ht="12.75" customHeight="1">
      <c r="E229" s="36"/>
    </row>
    <row r="230" ht="12.75" customHeight="1">
      <c r="E230" s="36"/>
    </row>
    <row r="231" ht="12.75" customHeight="1">
      <c r="E231" s="36"/>
    </row>
    <row r="232" ht="12.75" customHeight="1">
      <c r="E232" s="36"/>
    </row>
    <row r="233" ht="12.75" customHeight="1">
      <c r="E233" s="36"/>
    </row>
    <row r="234" ht="12.75" customHeight="1">
      <c r="E234" s="36"/>
    </row>
    <row r="235" ht="12.75" customHeight="1">
      <c r="E235" s="36"/>
    </row>
    <row r="236" ht="12.75" customHeight="1">
      <c r="E236" s="36"/>
    </row>
    <row r="237" ht="12.75" customHeight="1">
      <c r="E237" s="36"/>
    </row>
    <row r="238" ht="12.75" customHeight="1">
      <c r="E238" s="36"/>
    </row>
    <row r="239" ht="12.75" customHeight="1">
      <c r="E239" s="36"/>
    </row>
    <row r="240" ht="12.75" customHeight="1">
      <c r="E240" s="36"/>
    </row>
    <row r="241" ht="12.75" customHeight="1">
      <c r="E241" s="36"/>
    </row>
    <row r="242" ht="12.75" customHeight="1">
      <c r="E242" s="36"/>
    </row>
    <row r="243" ht="12.75" customHeight="1">
      <c r="E243" s="36"/>
    </row>
    <row r="244" ht="12.75" customHeight="1">
      <c r="E244" s="36"/>
    </row>
    <row r="245" ht="12.75" customHeight="1">
      <c r="E245" s="36"/>
    </row>
    <row r="246" ht="12.75" customHeight="1">
      <c r="E246" s="36"/>
    </row>
    <row r="247" ht="12.75" customHeight="1">
      <c r="E247" s="36"/>
    </row>
    <row r="248" ht="12.75" customHeight="1">
      <c r="E248" s="36"/>
    </row>
    <row r="249" ht="12.75" customHeight="1">
      <c r="E249" s="36"/>
    </row>
    <row r="250" ht="12.75" customHeight="1">
      <c r="E250" s="36"/>
    </row>
    <row r="251" ht="12.75" customHeight="1">
      <c r="E251" s="36"/>
    </row>
    <row r="252" ht="12.75" customHeight="1">
      <c r="E252" s="36"/>
    </row>
    <row r="253" ht="12.75" customHeight="1">
      <c r="E253" s="36"/>
    </row>
    <row r="254" ht="12.75" customHeight="1">
      <c r="E254" s="36"/>
    </row>
    <row r="255" ht="12.75" customHeight="1">
      <c r="E255" s="36"/>
    </row>
    <row r="256" ht="12.75" customHeight="1">
      <c r="E256" s="36"/>
    </row>
    <row r="257" ht="12.75" customHeight="1">
      <c r="E257" s="36"/>
    </row>
    <row r="258" ht="12.75" customHeight="1">
      <c r="E258" s="36"/>
    </row>
    <row r="259" ht="12.75" customHeight="1">
      <c r="E259" s="36"/>
    </row>
    <row r="260" ht="12.75" customHeight="1">
      <c r="E260" s="36"/>
    </row>
    <row r="261" ht="12.75" customHeight="1">
      <c r="E261" s="36"/>
    </row>
    <row r="262" ht="12.75" customHeight="1">
      <c r="E262" s="36"/>
    </row>
    <row r="263" ht="12.75" customHeight="1">
      <c r="E263" s="36"/>
    </row>
    <row r="264" ht="12.75" customHeight="1">
      <c r="E264" s="36"/>
    </row>
    <row r="265" ht="12.75" customHeight="1">
      <c r="E265" s="36"/>
    </row>
    <row r="266" ht="12.75" customHeight="1">
      <c r="E266" s="36"/>
    </row>
    <row r="267" ht="12.75" customHeight="1">
      <c r="E267" s="36"/>
    </row>
    <row r="268" ht="12.75" customHeight="1">
      <c r="E268" s="36"/>
    </row>
    <row r="269" ht="12.75" customHeight="1">
      <c r="E269" s="36"/>
    </row>
    <row r="270" ht="12.75" customHeight="1">
      <c r="E270" s="36"/>
    </row>
    <row r="271" ht="12.75" customHeight="1">
      <c r="E271" s="36"/>
    </row>
    <row r="272" ht="12.75" customHeight="1">
      <c r="E272" s="36"/>
    </row>
    <row r="273" ht="12.75" customHeight="1">
      <c r="E273" s="36"/>
    </row>
    <row r="274" ht="12.75" customHeight="1">
      <c r="E274" s="36"/>
    </row>
    <row r="275" ht="12.75" customHeight="1">
      <c r="E275" s="36"/>
    </row>
    <row r="276" ht="12.75" customHeight="1">
      <c r="E276" s="36"/>
    </row>
    <row r="277" ht="12.75" customHeight="1">
      <c r="E277" s="36"/>
    </row>
    <row r="278" ht="12.75" customHeight="1">
      <c r="E278" s="36"/>
    </row>
    <row r="279" ht="12.75" customHeight="1">
      <c r="E279" s="36"/>
    </row>
    <row r="280" ht="12.75" customHeight="1">
      <c r="E280" s="36"/>
    </row>
    <row r="281" ht="12.75" customHeight="1">
      <c r="E281" s="36"/>
    </row>
    <row r="282" ht="12.75" customHeight="1">
      <c r="E282" s="36"/>
    </row>
    <row r="283" ht="12.75" customHeight="1">
      <c r="E283" s="36"/>
    </row>
    <row r="284" ht="12.75" customHeight="1">
      <c r="E284" s="36"/>
    </row>
    <row r="285" ht="12.75" customHeight="1">
      <c r="E285" s="36"/>
    </row>
    <row r="286" ht="12.75" customHeight="1">
      <c r="E286" s="36"/>
    </row>
    <row r="287" ht="12.75" customHeight="1">
      <c r="E287" s="36"/>
    </row>
    <row r="288" ht="12.75" customHeight="1">
      <c r="E288" s="36"/>
    </row>
    <row r="289" ht="12.75" customHeight="1">
      <c r="E289" s="36"/>
    </row>
    <row r="290" ht="12.75" customHeight="1">
      <c r="E290" s="36"/>
    </row>
    <row r="291" ht="12.75" customHeight="1">
      <c r="E291" s="36"/>
    </row>
    <row r="292" ht="12.75" customHeight="1">
      <c r="E292" s="36"/>
    </row>
    <row r="293" ht="12.75" customHeight="1">
      <c r="E293" s="36"/>
    </row>
    <row r="294" ht="12.75" customHeight="1">
      <c r="E294" s="36"/>
    </row>
    <row r="295" ht="12.75" customHeight="1">
      <c r="E295" s="36"/>
    </row>
    <row r="296" ht="12.75" customHeight="1">
      <c r="E296" s="36"/>
    </row>
    <row r="297" ht="12.75" customHeight="1">
      <c r="E297" s="36"/>
    </row>
    <row r="298" ht="12.75" customHeight="1">
      <c r="E298" s="36"/>
    </row>
    <row r="299" ht="12.75" customHeight="1">
      <c r="E299" s="36"/>
    </row>
    <row r="300" ht="12.75" customHeight="1">
      <c r="E300" s="36"/>
    </row>
    <row r="301" ht="12.75" customHeight="1">
      <c r="E301" s="36"/>
    </row>
    <row r="302" ht="12.75" customHeight="1">
      <c r="E302" s="36"/>
    </row>
    <row r="303" ht="12.75" customHeight="1">
      <c r="E303" s="36"/>
    </row>
    <row r="304" ht="12.75" customHeight="1">
      <c r="E304" s="36"/>
    </row>
    <row r="305" ht="12.75" customHeight="1">
      <c r="E305" s="36"/>
    </row>
    <row r="306" ht="12.75" customHeight="1">
      <c r="E306" s="36"/>
    </row>
    <row r="307" ht="12.75" customHeight="1">
      <c r="E307" s="36"/>
    </row>
    <row r="308" ht="12.75" customHeight="1">
      <c r="E308" s="36"/>
    </row>
    <row r="309" ht="12.75" customHeight="1">
      <c r="E309" s="36"/>
    </row>
    <row r="310" ht="12.75" customHeight="1">
      <c r="E310" s="36"/>
    </row>
    <row r="311" ht="12.75" customHeight="1">
      <c r="E311" s="36"/>
    </row>
    <row r="312" ht="12.75" customHeight="1">
      <c r="E312" s="36"/>
    </row>
    <row r="313" ht="12.75" customHeight="1">
      <c r="E313" s="36"/>
    </row>
    <row r="314" ht="12.75" customHeight="1">
      <c r="E314" s="36"/>
    </row>
    <row r="315" ht="12.75" customHeight="1">
      <c r="E315" s="36"/>
    </row>
    <row r="316" ht="12.75" customHeight="1">
      <c r="E316" s="36"/>
    </row>
    <row r="317" ht="12.75" customHeight="1">
      <c r="E317" s="36"/>
    </row>
    <row r="318" ht="12.75" customHeight="1">
      <c r="E318" s="36"/>
    </row>
    <row r="319" ht="12.75" customHeight="1">
      <c r="E319" s="36"/>
    </row>
    <row r="320" ht="12.75" customHeight="1">
      <c r="E320" s="36"/>
    </row>
    <row r="321" ht="12.75" customHeight="1">
      <c r="E321" s="36"/>
    </row>
    <row r="322" ht="12.75" customHeight="1">
      <c r="E322" s="36"/>
    </row>
    <row r="323" ht="12.75" customHeight="1">
      <c r="E323" s="36"/>
    </row>
    <row r="324" ht="12.75" customHeight="1">
      <c r="E324" s="36"/>
    </row>
    <row r="325" ht="12.75" customHeight="1">
      <c r="E325" s="36"/>
    </row>
    <row r="326" ht="12.75" customHeight="1">
      <c r="E326" s="36"/>
    </row>
    <row r="327" ht="12.75" customHeight="1">
      <c r="E327" s="36"/>
    </row>
    <row r="328" ht="12.75" customHeight="1">
      <c r="E328" s="36"/>
    </row>
    <row r="329" ht="12.75" customHeight="1">
      <c r="E329" s="36"/>
    </row>
    <row r="330" ht="12.75" customHeight="1">
      <c r="E330" s="36"/>
    </row>
    <row r="331" ht="12.75" customHeight="1">
      <c r="E331" s="36"/>
    </row>
    <row r="332" ht="12.75" customHeight="1">
      <c r="E332" s="36"/>
    </row>
    <row r="333" ht="12.75" customHeight="1">
      <c r="E333" s="36"/>
    </row>
    <row r="334" ht="12.75" customHeight="1">
      <c r="E334" s="36"/>
    </row>
    <row r="335" ht="12.75" customHeight="1">
      <c r="E335" s="36"/>
    </row>
    <row r="336" ht="12.75" customHeight="1">
      <c r="E336" s="36"/>
    </row>
    <row r="337" ht="12.75" customHeight="1">
      <c r="E337" s="36"/>
    </row>
    <row r="338" ht="12.75" customHeight="1">
      <c r="E338" s="36"/>
    </row>
    <row r="339" ht="12.75" customHeight="1">
      <c r="E339" s="36"/>
    </row>
    <row r="340" ht="12.75" customHeight="1">
      <c r="E340" s="36"/>
    </row>
    <row r="341" ht="12.75" customHeight="1">
      <c r="E341" s="36"/>
    </row>
    <row r="342" ht="12.75" customHeight="1">
      <c r="E342" s="36"/>
    </row>
    <row r="343" ht="12.75" customHeight="1">
      <c r="E343" s="36"/>
    </row>
    <row r="344" ht="12.75" customHeight="1">
      <c r="E344" s="36"/>
    </row>
    <row r="345" ht="12.75" customHeight="1">
      <c r="E345" s="36"/>
    </row>
    <row r="346" ht="12.75" customHeight="1">
      <c r="E346" s="36"/>
    </row>
    <row r="347" ht="12.75" customHeight="1">
      <c r="E347" s="36"/>
    </row>
    <row r="348" ht="12.75" customHeight="1">
      <c r="E348" s="36"/>
    </row>
    <row r="349" ht="12.75" customHeight="1">
      <c r="E349" s="36"/>
    </row>
    <row r="350" ht="12.75" customHeight="1">
      <c r="E350" s="36"/>
    </row>
    <row r="351" ht="12.75" customHeight="1">
      <c r="E351" s="36"/>
    </row>
    <row r="352" ht="12.75" customHeight="1">
      <c r="E352" s="36"/>
    </row>
    <row r="353" ht="12.75" customHeight="1">
      <c r="E353" s="36"/>
    </row>
    <row r="354" ht="12.75" customHeight="1">
      <c r="E354" s="36"/>
    </row>
    <row r="355" ht="12.75" customHeight="1">
      <c r="E355" s="36"/>
    </row>
    <row r="356" ht="12.75" customHeight="1">
      <c r="E356" s="36"/>
    </row>
    <row r="357" ht="12.75" customHeight="1">
      <c r="E357" s="36"/>
    </row>
    <row r="358" ht="12.75" customHeight="1">
      <c r="E358" s="36"/>
    </row>
    <row r="359" ht="12.75" customHeight="1">
      <c r="E359" s="36"/>
    </row>
    <row r="360" ht="12.75" customHeight="1">
      <c r="E360" s="36"/>
    </row>
    <row r="361" ht="12.75" customHeight="1">
      <c r="E361" s="36"/>
    </row>
    <row r="362" ht="12.75" customHeight="1">
      <c r="E362" s="36"/>
    </row>
    <row r="363" ht="12.75" customHeight="1">
      <c r="E363" s="36"/>
    </row>
    <row r="364" ht="12.75" customHeight="1">
      <c r="E364" s="36"/>
    </row>
    <row r="365" ht="12.75" customHeight="1">
      <c r="E365" s="36"/>
    </row>
    <row r="366" ht="12.75" customHeight="1">
      <c r="E366" s="36"/>
    </row>
    <row r="367" ht="12.75" customHeight="1">
      <c r="E367" s="36"/>
    </row>
    <row r="368" ht="12.75" customHeight="1">
      <c r="E368" s="36"/>
    </row>
    <row r="369" ht="12.75" customHeight="1">
      <c r="E369" s="36"/>
    </row>
    <row r="370" ht="12.75" customHeight="1">
      <c r="E370" s="36"/>
    </row>
    <row r="371" ht="12.75" customHeight="1">
      <c r="E371" s="36"/>
    </row>
    <row r="372" ht="12.75" customHeight="1">
      <c r="E372" s="36"/>
    </row>
    <row r="373" ht="12.75" customHeight="1">
      <c r="E373" s="36"/>
    </row>
    <row r="374" ht="12.75" customHeight="1">
      <c r="E374" s="36"/>
    </row>
    <row r="375" ht="12.75" customHeight="1">
      <c r="E375" s="36"/>
    </row>
    <row r="376" ht="12.75" customHeight="1">
      <c r="E376" s="36"/>
    </row>
    <row r="377" ht="12.75" customHeight="1">
      <c r="E377" s="36"/>
    </row>
    <row r="378" ht="12.75" customHeight="1">
      <c r="E378" s="36"/>
    </row>
    <row r="379" ht="12.75" customHeight="1">
      <c r="E379" s="36"/>
    </row>
    <row r="380" ht="12.75" customHeight="1">
      <c r="E380" s="36"/>
    </row>
    <row r="381" ht="12.75" customHeight="1">
      <c r="E381" s="36"/>
    </row>
    <row r="382" ht="12.75" customHeight="1">
      <c r="E382" s="36"/>
    </row>
    <row r="383" ht="12.75" customHeight="1">
      <c r="E383" s="36"/>
    </row>
    <row r="384" ht="12.75" customHeight="1">
      <c r="E384" s="36"/>
    </row>
    <row r="385" ht="12.75" customHeight="1">
      <c r="E385" s="36"/>
    </row>
    <row r="386" ht="12.75" customHeight="1">
      <c r="E386" s="36"/>
    </row>
    <row r="387" ht="12.75" customHeight="1">
      <c r="E387" s="36"/>
    </row>
    <row r="388" ht="12.75" customHeight="1">
      <c r="E388" s="36"/>
    </row>
    <row r="389" ht="12.75" customHeight="1">
      <c r="E389" s="36"/>
    </row>
    <row r="390" ht="12.75" customHeight="1">
      <c r="E390" s="36"/>
    </row>
    <row r="391" ht="12.75" customHeight="1">
      <c r="E391" s="36"/>
    </row>
    <row r="392" ht="12.75" customHeight="1">
      <c r="E392" s="36"/>
    </row>
    <row r="393" ht="12.75" customHeight="1">
      <c r="E393" s="36"/>
    </row>
    <row r="394" ht="12.75" customHeight="1">
      <c r="E394" s="36"/>
    </row>
    <row r="395" ht="12.75" customHeight="1">
      <c r="E395" s="36"/>
    </row>
    <row r="396" ht="12.75" customHeight="1">
      <c r="E396" s="36"/>
    </row>
    <row r="397" ht="12.75" customHeight="1">
      <c r="E397" s="36"/>
    </row>
    <row r="398" ht="12.75" customHeight="1">
      <c r="E398" s="36"/>
    </row>
    <row r="399" ht="12.75" customHeight="1">
      <c r="E399" s="36"/>
    </row>
    <row r="400" ht="12.75" customHeight="1">
      <c r="E400" s="36"/>
    </row>
    <row r="401" ht="12.75" customHeight="1">
      <c r="E401" s="36"/>
    </row>
    <row r="402" ht="12.75" customHeight="1">
      <c r="E402" s="36"/>
    </row>
    <row r="403" ht="12.75" customHeight="1">
      <c r="E403" s="36"/>
    </row>
    <row r="404" ht="12.75" customHeight="1">
      <c r="E404" s="36"/>
    </row>
    <row r="405" ht="12.75" customHeight="1">
      <c r="E405" s="36"/>
    </row>
    <row r="406" ht="12.75" customHeight="1">
      <c r="E406" s="36"/>
    </row>
    <row r="407" ht="12.75" customHeight="1">
      <c r="E407" s="36"/>
    </row>
    <row r="408" ht="12.75" customHeight="1">
      <c r="E408" s="36"/>
    </row>
    <row r="409" ht="12.75" customHeight="1">
      <c r="E409" s="36"/>
    </row>
    <row r="410" ht="12.75" customHeight="1">
      <c r="E410" s="36"/>
    </row>
    <row r="411" ht="12.75" customHeight="1">
      <c r="E411" s="36"/>
    </row>
    <row r="412" ht="12.75" customHeight="1">
      <c r="E412" s="36"/>
    </row>
    <row r="413" ht="12.75" customHeight="1">
      <c r="E413" s="36"/>
    </row>
    <row r="414" ht="12.75" customHeight="1">
      <c r="E414" s="36"/>
    </row>
    <row r="415" ht="12.75" customHeight="1">
      <c r="E415" s="36"/>
    </row>
    <row r="416" ht="12.75" customHeight="1">
      <c r="E416" s="36"/>
    </row>
    <row r="417" ht="12.75" customHeight="1">
      <c r="E417" s="36"/>
    </row>
    <row r="418" ht="12.75" customHeight="1">
      <c r="E418" s="36"/>
    </row>
    <row r="419" ht="12.75" customHeight="1">
      <c r="E419" s="36"/>
    </row>
    <row r="420" ht="12.75" customHeight="1">
      <c r="E420" s="36"/>
    </row>
    <row r="421" ht="12.75" customHeight="1">
      <c r="E421" s="36"/>
    </row>
    <row r="422" ht="12.75" customHeight="1">
      <c r="E422" s="36"/>
    </row>
    <row r="423" ht="12.75" customHeight="1">
      <c r="E423" s="36"/>
    </row>
    <row r="424" ht="12.75" customHeight="1">
      <c r="E424" s="36"/>
    </row>
    <row r="425" ht="12.75" customHeight="1">
      <c r="E425" s="36"/>
    </row>
    <row r="426" ht="12.75" customHeight="1">
      <c r="E426" s="36"/>
    </row>
    <row r="427" ht="12.75" customHeight="1">
      <c r="E427" s="36"/>
    </row>
    <row r="428" ht="12.75" customHeight="1">
      <c r="E428" s="36"/>
    </row>
    <row r="429" ht="12.75" customHeight="1">
      <c r="E429" s="36"/>
    </row>
    <row r="430" ht="12.75" customHeight="1">
      <c r="E430" s="36"/>
    </row>
    <row r="431" ht="12.75" customHeight="1">
      <c r="E431" s="36"/>
    </row>
    <row r="432" ht="12.75" customHeight="1">
      <c r="E432" s="36"/>
    </row>
    <row r="433" ht="12.75" customHeight="1">
      <c r="E433" s="36"/>
    </row>
    <row r="434" ht="12.75" customHeight="1">
      <c r="E434" s="36"/>
    </row>
    <row r="435" ht="12.75" customHeight="1">
      <c r="E435" s="36"/>
    </row>
    <row r="436" ht="12.75" customHeight="1">
      <c r="E436" s="36"/>
    </row>
    <row r="437" ht="12.75" customHeight="1">
      <c r="E437" s="36"/>
    </row>
    <row r="438" ht="12.75" customHeight="1">
      <c r="E438" s="36"/>
    </row>
    <row r="439" ht="12.75" customHeight="1">
      <c r="E439" s="36"/>
    </row>
    <row r="440" ht="12.75" customHeight="1">
      <c r="E440" s="36"/>
    </row>
    <row r="441" ht="12.75" customHeight="1">
      <c r="E441" s="36"/>
    </row>
    <row r="442" ht="12.75" customHeight="1">
      <c r="E442" s="36"/>
    </row>
    <row r="443" ht="12.75" customHeight="1">
      <c r="E443" s="36"/>
    </row>
    <row r="444" ht="12.75" customHeight="1">
      <c r="E444" s="36"/>
    </row>
    <row r="445" ht="12.75" customHeight="1">
      <c r="E445" s="36"/>
    </row>
    <row r="446" ht="12.75" customHeight="1">
      <c r="E446" s="36"/>
    </row>
    <row r="447" ht="12.75" customHeight="1">
      <c r="E447" s="36"/>
    </row>
    <row r="448" ht="12.75" customHeight="1">
      <c r="E448" s="36"/>
    </row>
    <row r="449" ht="12.75" customHeight="1">
      <c r="E449" s="36"/>
    </row>
    <row r="450" ht="12.75" customHeight="1">
      <c r="E450" s="36"/>
    </row>
    <row r="451" ht="12.75" customHeight="1">
      <c r="E451" s="36"/>
    </row>
    <row r="452" ht="12.75" customHeight="1">
      <c r="E452" s="36"/>
    </row>
    <row r="453" ht="12.75" customHeight="1">
      <c r="E453" s="36"/>
    </row>
    <row r="454" ht="12.75" customHeight="1">
      <c r="E454" s="36"/>
    </row>
    <row r="455" ht="12.75" customHeight="1">
      <c r="E455" s="36"/>
    </row>
    <row r="456" ht="12.75" customHeight="1">
      <c r="E456" s="36"/>
    </row>
    <row r="457" ht="12.75" customHeight="1">
      <c r="E457" s="36"/>
    </row>
    <row r="458" ht="12.75" customHeight="1">
      <c r="E458" s="36"/>
    </row>
    <row r="459" ht="12.75" customHeight="1">
      <c r="E459" s="36"/>
    </row>
    <row r="460" ht="12.75" customHeight="1">
      <c r="E460" s="36"/>
    </row>
    <row r="461" ht="12.75" customHeight="1">
      <c r="E461" s="36"/>
    </row>
    <row r="462" ht="12.75" customHeight="1">
      <c r="E462" s="36"/>
    </row>
    <row r="463" ht="12.75" customHeight="1">
      <c r="E463" s="36"/>
    </row>
    <row r="464" ht="12.75" customHeight="1">
      <c r="E464" s="36"/>
    </row>
    <row r="465" ht="12.75" customHeight="1">
      <c r="E465" s="36"/>
    </row>
    <row r="466" ht="12.75" customHeight="1">
      <c r="E466" s="36"/>
    </row>
    <row r="467" ht="12.75" customHeight="1">
      <c r="E467" s="36"/>
    </row>
    <row r="468" ht="12.75" customHeight="1">
      <c r="E468" s="36"/>
    </row>
    <row r="469" ht="12.75" customHeight="1">
      <c r="E469" s="36"/>
    </row>
    <row r="470" ht="12.75" customHeight="1">
      <c r="E470" s="36"/>
    </row>
    <row r="471" ht="12.75" customHeight="1">
      <c r="E471" s="36"/>
    </row>
    <row r="472" ht="12.75" customHeight="1">
      <c r="E472" s="36"/>
    </row>
    <row r="473" ht="12.75" customHeight="1">
      <c r="E473" s="36"/>
    </row>
    <row r="474" ht="12.75" customHeight="1">
      <c r="E474" s="36"/>
    </row>
    <row r="475" ht="12.75" customHeight="1">
      <c r="E475" s="36"/>
    </row>
    <row r="476" ht="12.75" customHeight="1">
      <c r="E476" s="36"/>
    </row>
    <row r="477" ht="12.75" customHeight="1">
      <c r="E477" s="36"/>
    </row>
    <row r="478" ht="12.75" customHeight="1">
      <c r="E478" s="36"/>
    </row>
    <row r="479" ht="12.75" customHeight="1">
      <c r="E479" s="36"/>
    </row>
    <row r="480" ht="12.75" customHeight="1">
      <c r="E480" s="36"/>
    </row>
    <row r="481" ht="12.75" customHeight="1">
      <c r="E481" s="36"/>
    </row>
    <row r="482" ht="12.75" customHeight="1">
      <c r="E482" s="36"/>
    </row>
    <row r="483" ht="12.75" customHeight="1">
      <c r="E483" s="36"/>
    </row>
    <row r="484" ht="12.75" customHeight="1">
      <c r="E484" s="36"/>
    </row>
    <row r="485" ht="12.75" customHeight="1">
      <c r="E485" s="36"/>
    </row>
    <row r="486" ht="12.75" customHeight="1">
      <c r="E486" s="36"/>
    </row>
    <row r="487" ht="12.75" customHeight="1">
      <c r="E487" s="36"/>
    </row>
    <row r="488" ht="12.75" customHeight="1">
      <c r="E488" s="36"/>
    </row>
    <row r="489" ht="12.75" customHeight="1">
      <c r="E489" s="36"/>
    </row>
    <row r="490" ht="12.75" customHeight="1">
      <c r="E490" s="36"/>
    </row>
    <row r="491" ht="12.75" customHeight="1">
      <c r="E491" s="36"/>
    </row>
    <row r="492" ht="12.75" customHeight="1">
      <c r="E492" s="36"/>
    </row>
    <row r="493" ht="12.75" customHeight="1">
      <c r="E493" s="36"/>
    </row>
    <row r="494" ht="12.75" customHeight="1">
      <c r="E494" s="36"/>
    </row>
    <row r="495" ht="12.75" customHeight="1">
      <c r="E495" s="36"/>
    </row>
    <row r="496" ht="12.75" customHeight="1">
      <c r="E496" s="36"/>
    </row>
    <row r="497" ht="12.75" customHeight="1">
      <c r="E497" s="36"/>
    </row>
    <row r="498" ht="12.75" customHeight="1">
      <c r="E498" s="36"/>
    </row>
    <row r="499" ht="12.75" customHeight="1">
      <c r="E499" s="36"/>
    </row>
    <row r="500" ht="12.75" customHeight="1">
      <c r="E500" s="36"/>
    </row>
  </sheetData>
  <mergeCells count="2">
    <mergeCell ref="B1:D1"/>
    <mergeCell ref="B2:D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30" sqref="A30:IV32"/>
    </sheetView>
  </sheetViews>
  <sheetFormatPr defaultColWidth="9.00390625" defaultRowHeight="12.75" customHeight="1"/>
  <cols>
    <col min="1" max="1" width="5.75390625" style="17" customWidth="1"/>
    <col min="2" max="2" width="40.625" style="2" customWidth="1"/>
    <col min="3" max="3" width="15.375" style="54" customWidth="1"/>
    <col min="4" max="4" width="15.375" style="66" customWidth="1"/>
    <col min="5" max="5" width="6.375" style="291" customWidth="1"/>
    <col min="6" max="16384" width="9.125" style="36" customWidth="1"/>
  </cols>
  <sheetData>
    <row r="1" ht="12.75" customHeight="1">
      <c r="D1" s="65" t="s">
        <v>117</v>
      </c>
    </row>
    <row r="2" spans="1:3" ht="12.75" customHeight="1">
      <c r="A2" s="541" t="s">
        <v>566</v>
      </c>
      <c r="B2" s="541"/>
      <c r="C2" s="541"/>
    </row>
    <row r="3" spans="1:3" ht="12.75" customHeight="1">
      <c r="A3" s="541"/>
      <c r="B3" s="541"/>
      <c r="C3" s="541"/>
    </row>
    <row r="6" spans="1:5" ht="12.75" customHeight="1">
      <c r="A6" s="551" t="s">
        <v>194</v>
      </c>
      <c r="B6" s="553" t="s">
        <v>213</v>
      </c>
      <c r="C6" s="336" t="s">
        <v>527</v>
      </c>
      <c r="D6" s="336" t="s">
        <v>239</v>
      </c>
      <c r="E6" s="342" t="s">
        <v>234</v>
      </c>
    </row>
    <row r="7" spans="1:5" ht="12.75" customHeight="1">
      <c r="A7" s="552"/>
      <c r="B7" s="554"/>
      <c r="C7" s="125">
        <f>C8</f>
        <v>1247106.48</v>
      </c>
      <c r="D7" s="125">
        <f>D8</f>
        <v>1247106.48</v>
      </c>
      <c r="E7" s="342">
        <f>D7/C7%</f>
        <v>100</v>
      </c>
    </row>
    <row r="8" spans="1:5" ht="12.75" customHeight="1">
      <c r="A8" s="312"/>
      <c r="B8" s="10" t="s">
        <v>451</v>
      </c>
      <c r="C8" s="339">
        <f>C9+C15</f>
        <v>1247106.48</v>
      </c>
      <c r="D8" s="84">
        <f>D9+D15</f>
        <v>1247106.48</v>
      </c>
      <c r="E8" s="436">
        <f aca="true" t="shared" si="0" ref="E8:E17">D8/C8%</f>
        <v>100</v>
      </c>
    </row>
    <row r="9" spans="1:5" ht="12.75" customHeight="1">
      <c r="A9" s="72">
        <v>992</v>
      </c>
      <c r="B9" s="7" t="s">
        <v>100</v>
      </c>
      <c r="C9" s="340">
        <f>SUM(C10:C14)</f>
        <v>664536</v>
      </c>
      <c r="D9" s="85">
        <f>SUM(D10:D14)</f>
        <v>664536</v>
      </c>
      <c r="E9" s="437">
        <f t="shared" si="0"/>
        <v>100</v>
      </c>
    </row>
    <row r="10" spans="1:5" ht="12.75" customHeight="1">
      <c r="A10" s="72"/>
      <c r="B10" s="8" t="s">
        <v>102</v>
      </c>
      <c r="C10" s="193">
        <v>214436</v>
      </c>
      <c r="D10" s="82">
        <v>214436</v>
      </c>
      <c r="E10" s="437">
        <f t="shared" si="0"/>
        <v>100</v>
      </c>
    </row>
    <row r="11" spans="1:5" ht="12.75" customHeight="1">
      <c r="A11" s="72"/>
      <c r="B11" s="8" t="s">
        <v>102</v>
      </c>
      <c r="C11" s="193">
        <v>35500</v>
      </c>
      <c r="D11" s="82">
        <v>35500</v>
      </c>
      <c r="E11" s="437">
        <f t="shared" si="0"/>
        <v>100</v>
      </c>
    </row>
    <row r="12" spans="1:5" ht="12.75" customHeight="1">
      <c r="A12" s="72"/>
      <c r="B12" s="8" t="s">
        <v>102</v>
      </c>
      <c r="C12" s="193">
        <v>38400</v>
      </c>
      <c r="D12" s="82">
        <v>38400</v>
      </c>
      <c r="E12" s="437">
        <f t="shared" si="0"/>
        <v>100</v>
      </c>
    </row>
    <row r="13" spans="1:5" ht="12.75" customHeight="1">
      <c r="A13" s="72"/>
      <c r="B13" s="8" t="s">
        <v>102</v>
      </c>
      <c r="C13" s="193">
        <v>16200</v>
      </c>
      <c r="D13" s="82">
        <v>16200</v>
      </c>
      <c r="E13" s="437">
        <f t="shared" si="0"/>
        <v>100</v>
      </c>
    </row>
    <row r="14" spans="1:5" ht="12.75" customHeight="1">
      <c r="A14" s="72"/>
      <c r="B14" s="8" t="s">
        <v>103</v>
      </c>
      <c r="C14" s="193">
        <v>360000</v>
      </c>
      <c r="D14" s="82">
        <v>360000</v>
      </c>
      <c r="E14" s="437">
        <f t="shared" si="0"/>
        <v>100</v>
      </c>
    </row>
    <row r="15" spans="1:5" ht="12.75" customHeight="1">
      <c r="A15" s="72">
        <v>992</v>
      </c>
      <c r="B15" s="7" t="s">
        <v>101</v>
      </c>
      <c r="C15" s="340">
        <f>SUM(C16:C17)</f>
        <v>582570.48</v>
      </c>
      <c r="D15" s="85">
        <f>SUM(D16:D17)</f>
        <v>582570.48</v>
      </c>
      <c r="E15" s="437">
        <f t="shared" si="0"/>
        <v>100</v>
      </c>
    </row>
    <row r="16" spans="1:5" ht="12.75" customHeight="1">
      <c r="A16" s="24"/>
      <c r="B16" s="8" t="s">
        <v>195</v>
      </c>
      <c r="C16" s="193">
        <v>98770.48</v>
      </c>
      <c r="D16" s="82">
        <v>98770.48</v>
      </c>
      <c r="E16" s="437">
        <f t="shared" si="0"/>
        <v>100</v>
      </c>
    </row>
    <row r="17" spans="1:5" ht="12.75" customHeight="1">
      <c r="A17" s="30"/>
      <c r="B17" s="9" t="s">
        <v>196</v>
      </c>
      <c r="C17" s="400">
        <f>33000+233000+234000-16200</f>
        <v>483800</v>
      </c>
      <c r="D17" s="86">
        <v>483800</v>
      </c>
      <c r="E17" s="438">
        <f t="shared" si="0"/>
        <v>100</v>
      </c>
    </row>
    <row r="18" spans="1:5" ht="12.75" customHeight="1">
      <c r="A18" s="337"/>
      <c r="B18" s="337"/>
      <c r="C18" s="337"/>
      <c r="D18" s="337"/>
      <c r="E18" s="344"/>
    </row>
    <row r="19" spans="1:5" ht="12.75" customHeight="1">
      <c r="A19" s="337"/>
      <c r="B19" s="337"/>
      <c r="C19" s="337"/>
      <c r="D19" s="337"/>
      <c r="E19" s="344"/>
    </row>
    <row r="20" spans="1:5" ht="12.75" customHeight="1">
      <c r="A20" s="549" t="s">
        <v>194</v>
      </c>
      <c r="B20" s="550" t="s">
        <v>214</v>
      </c>
      <c r="C20" s="336" t="s">
        <v>527</v>
      </c>
      <c r="D20" s="336" t="s">
        <v>239</v>
      </c>
      <c r="E20" s="342" t="s">
        <v>234</v>
      </c>
    </row>
    <row r="21" spans="1:5" ht="12.75" customHeight="1">
      <c r="A21" s="549"/>
      <c r="B21" s="550"/>
      <c r="C21" s="336">
        <f>C23+C22</f>
        <v>4724844.4</v>
      </c>
      <c r="D21" s="341">
        <f>D23+D22</f>
        <v>3724844.4</v>
      </c>
      <c r="E21" s="343">
        <f aca="true" t="shared" si="1" ref="E21:E27">D21/C21%</f>
        <v>78.83528185605434</v>
      </c>
    </row>
    <row r="22" spans="1:5" ht="13.5" customHeight="1">
      <c r="A22" s="151">
        <v>957</v>
      </c>
      <c r="B22" s="42" t="s">
        <v>406</v>
      </c>
      <c r="C22" s="215">
        <v>1608844.4</v>
      </c>
      <c r="D22" s="219">
        <f>C22</f>
        <v>1608844.4</v>
      </c>
      <c r="E22" s="434">
        <f t="shared" si="1"/>
        <v>100</v>
      </c>
    </row>
    <row r="23" spans="1:5" ht="13.5" customHeight="1">
      <c r="A23" s="24"/>
      <c r="B23" s="8" t="s">
        <v>452</v>
      </c>
      <c r="C23" s="78">
        <f>C26+C24</f>
        <v>3116000</v>
      </c>
      <c r="D23" s="82">
        <f>D24+D26</f>
        <v>2116000</v>
      </c>
      <c r="E23" s="434">
        <f t="shared" si="1"/>
        <v>67.90757381258022</v>
      </c>
    </row>
    <row r="24" spans="1:5" ht="13.5" customHeight="1">
      <c r="A24" s="24">
        <v>952</v>
      </c>
      <c r="B24" s="338" t="s">
        <v>100</v>
      </c>
      <c r="C24" s="397">
        <f>C25</f>
        <v>116000</v>
      </c>
      <c r="D24" s="397">
        <f>D25</f>
        <v>116000</v>
      </c>
      <c r="E24" s="434">
        <f t="shared" si="1"/>
        <v>100</v>
      </c>
    </row>
    <row r="25" spans="1:5" ht="13.5" customHeight="1">
      <c r="A25" s="24"/>
      <c r="B25" s="83" t="s">
        <v>526</v>
      </c>
      <c r="C25" s="398">
        <v>116000</v>
      </c>
      <c r="D25" s="219">
        <v>116000</v>
      </c>
      <c r="E25" s="434">
        <f t="shared" si="1"/>
        <v>100</v>
      </c>
    </row>
    <row r="26" spans="1:5" ht="13.5" customHeight="1">
      <c r="A26" s="24">
        <v>952</v>
      </c>
      <c r="B26" s="7" t="s">
        <v>453</v>
      </c>
      <c r="C26" s="399">
        <f>C27</f>
        <v>3000000</v>
      </c>
      <c r="D26" s="192">
        <f>D27</f>
        <v>2000000</v>
      </c>
      <c r="E26" s="434">
        <f t="shared" si="1"/>
        <v>66.66666666666667</v>
      </c>
    </row>
    <row r="27" spans="1:5" ht="13.5" customHeight="1">
      <c r="A27" s="30"/>
      <c r="B27" s="9" t="s">
        <v>454</v>
      </c>
      <c r="C27" s="221">
        <v>3000000</v>
      </c>
      <c r="D27" s="222">
        <v>2000000</v>
      </c>
      <c r="E27" s="435">
        <f t="shared" si="1"/>
        <v>66.66666666666667</v>
      </c>
    </row>
    <row r="30" spans="3:4" ht="12.75" customHeight="1" hidden="1">
      <c r="C30" s="54">
        <f>C21-C7</f>
        <v>3477737.9200000004</v>
      </c>
      <c r="D30" s="54">
        <f>D21-D7</f>
        <v>2477737.92</v>
      </c>
    </row>
    <row r="31" spans="3:4" ht="12.75" customHeight="1" hidden="1">
      <c r="C31" s="54">
        <f>Dochody!D108-Wydatki!C246</f>
        <v>-3477737.920000002</v>
      </c>
      <c r="D31" s="54">
        <f>Dochody!E108-Wydatki!D246</f>
        <v>-892043.1900000051</v>
      </c>
    </row>
    <row r="32" spans="4:5" ht="12.75" customHeight="1" hidden="1">
      <c r="D32" s="66">
        <f>D30+D31</f>
        <v>1585694.7299999949</v>
      </c>
      <c r="E32" s="291" t="s">
        <v>567</v>
      </c>
    </row>
  </sheetData>
  <mergeCells count="6">
    <mergeCell ref="A20:A21"/>
    <mergeCell ref="B20:B21"/>
    <mergeCell ref="A2:C2"/>
    <mergeCell ref="A3:C3"/>
    <mergeCell ref="A6:A7"/>
    <mergeCell ref="B6:B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UM Ustrzyki Dolne</cp:lastModifiedBy>
  <cp:lastPrinted>2010-03-23T07:09:33Z</cp:lastPrinted>
  <dcterms:created xsi:type="dcterms:W3CDTF">2002-11-03T06:23:27Z</dcterms:created>
  <dcterms:modified xsi:type="dcterms:W3CDTF">2010-03-31T09:25:47Z</dcterms:modified>
  <cp:category/>
  <cp:version/>
  <cp:contentType/>
  <cp:contentStatus/>
</cp:coreProperties>
</file>